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628"/>
  <workbookPr/>
  <mc:AlternateContent xmlns:mc="http://schemas.openxmlformats.org/markup-compatibility/2006">
    <mc:Choice Requires="x15">
      <x15ac:absPath xmlns:x15ac="http://schemas.microsoft.com/office/spreadsheetml/2010/11/ac" url="C:\Users\m\Desktop\workout lipocavitation diet\research 3\"/>
    </mc:Choice>
  </mc:AlternateContent>
  <xr:revisionPtr revIDLastSave="0" documentId="13_ncr:1_{772AE36D-7880-4FB5-BCD7-4C7D36D1B7CE}" xr6:coauthVersionLast="46" xr6:coauthVersionMax="46" xr10:uidLastSave="{00000000-0000-0000-0000-000000000000}"/>
  <bookViews>
    <workbookView xWindow="-120" yWindow="-120" windowWidth="20730" windowHeight="11160" xr2:uid="{00000000-000D-0000-FFFF-FFFF00000000}"/>
  </bookViews>
  <sheets>
    <sheet name="researchMeasures" sheetId="1" r:id="rId1"/>
    <sheet name="dataDictionary" sheetId="5" r:id="rId2"/>
    <sheet name="NutritionalData" sheetId="4"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H41" i="1" l="1"/>
  <c r="AG41" i="1"/>
  <c r="AF41" i="1"/>
  <c r="AE41" i="1"/>
  <c r="AD41" i="1"/>
  <c r="AC41" i="1"/>
  <c r="AB41" i="1"/>
  <c r="C113" i="4" l="1"/>
  <c r="D113" i="4"/>
  <c r="E113" i="4"/>
  <c r="F113" i="4"/>
  <c r="G113" i="4"/>
  <c r="H113" i="4"/>
  <c r="B113" i="4"/>
  <c r="AI41" i="1"/>
  <c r="AJ41" i="1"/>
  <c r="AK41" i="1"/>
  <c r="AL41" i="1"/>
  <c r="AM41" i="1"/>
  <c r="AN41" i="1"/>
  <c r="L41" i="1"/>
  <c r="M41" i="1"/>
  <c r="AH40" i="1"/>
  <c r="AG40" i="1"/>
  <c r="AF40" i="1"/>
  <c r="AE40" i="1"/>
  <c r="AD40" i="1"/>
  <c r="AC40" i="1"/>
  <c r="AB40" i="1"/>
  <c r="AI40" i="1" s="1"/>
  <c r="C112" i="4"/>
  <c r="D112" i="4"/>
  <c r="E112" i="4"/>
  <c r="F112" i="4"/>
  <c r="G112" i="4"/>
  <c r="H112" i="4"/>
  <c r="B112" i="4"/>
  <c r="C111" i="4"/>
  <c r="D111" i="4"/>
  <c r="E111" i="4"/>
  <c r="F111" i="4"/>
  <c r="G111" i="4"/>
  <c r="H111" i="4"/>
  <c r="B111" i="4"/>
  <c r="AJ40" i="1"/>
  <c r="AL40" i="1"/>
  <c r="AN40" i="1"/>
  <c r="L40" i="1"/>
  <c r="M40" i="1"/>
  <c r="AI39" i="1"/>
  <c r="AJ39" i="1"/>
  <c r="AK39" i="1"/>
  <c r="AL39" i="1"/>
  <c r="AM39" i="1"/>
  <c r="AN39" i="1"/>
  <c r="AH39" i="1"/>
  <c r="AG39" i="1"/>
  <c r="AF39" i="1"/>
  <c r="AE39" i="1"/>
  <c r="AD39" i="1"/>
  <c r="AC39" i="1"/>
  <c r="AB39" i="1"/>
  <c r="AH38" i="1"/>
  <c r="AG38" i="1"/>
  <c r="AF38" i="1"/>
  <c r="AE38" i="1"/>
  <c r="AD38" i="1"/>
  <c r="AC38" i="1"/>
  <c r="AB38" i="1"/>
  <c r="AI38" i="1" s="1"/>
  <c r="L39" i="1"/>
  <c r="M39" i="1"/>
  <c r="AJ38" i="1"/>
  <c r="AK38" i="1"/>
  <c r="AL38" i="1"/>
  <c r="AM38" i="1"/>
  <c r="AN38" i="1"/>
  <c r="C108" i="4"/>
  <c r="D108" i="4"/>
  <c r="E108" i="4"/>
  <c r="F108" i="4"/>
  <c r="G108" i="4"/>
  <c r="H108" i="4"/>
  <c r="B108" i="4"/>
  <c r="C107" i="4"/>
  <c r="D107" i="4"/>
  <c r="E107" i="4"/>
  <c r="F107" i="4"/>
  <c r="G107" i="4"/>
  <c r="H107" i="4"/>
  <c r="B107" i="4"/>
  <c r="L38" i="1"/>
  <c r="M38" i="1"/>
  <c r="AH37" i="1"/>
  <c r="AN37" i="1" s="1"/>
  <c r="AG37" i="1"/>
  <c r="AF37" i="1"/>
  <c r="AE37" i="1"/>
  <c r="AK37" i="1" s="1"/>
  <c r="AD37" i="1"/>
  <c r="AJ37" i="1" s="1"/>
  <c r="AC37" i="1"/>
  <c r="AB37" i="1"/>
  <c r="AH36" i="1"/>
  <c r="AG36" i="1"/>
  <c r="AF36" i="1"/>
  <c r="AE36" i="1"/>
  <c r="AD36" i="1"/>
  <c r="AC36" i="1"/>
  <c r="AB36" i="1"/>
  <c r="M37" i="1" s="1"/>
  <c r="AI37" i="1"/>
  <c r="AL37" i="1"/>
  <c r="AM37" i="1"/>
  <c r="L36" i="1"/>
  <c r="M36" i="1"/>
  <c r="L37" i="1"/>
  <c r="AI36" i="1"/>
  <c r="AK36" i="1"/>
  <c r="AM36" i="1"/>
  <c r="AH35" i="1"/>
  <c r="AG35" i="1"/>
  <c r="AF35" i="1"/>
  <c r="AE35" i="1"/>
  <c r="AD35" i="1"/>
  <c r="AC35" i="1"/>
  <c r="AB35" i="1"/>
  <c r="AJ35" i="1" s="1"/>
  <c r="H103" i="4"/>
  <c r="G103" i="4"/>
  <c r="G105" i="4" s="1"/>
  <c r="F103" i="4"/>
  <c r="E103" i="4"/>
  <c r="E105" i="4" s="1"/>
  <c r="D103" i="4"/>
  <c r="C103" i="4"/>
  <c r="C105" i="4" s="1"/>
  <c r="B103" i="4"/>
  <c r="H104" i="4"/>
  <c r="H105" i="4" s="1"/>
  <c r="G104" i="4"/>
  <c r="F104" i="4"/>
  <c r="F105" i="4" s="1"/>
  <c r="E104" i="4"/>
  <c r="D104" i="4"/>
  <c r="D105" i="4" s="1"/>
  <c r="C104" i="4"/>
  <c r="B104" i="4"/>
  <c r="B105" i="4" s="1"/>
  <c r="AI35" i="1"/>
  <c r="AK35" i="1"/>
  <c r="AM35" i="1"/>
  <c r="L35" i="1"/>
  <c r="M35" i="1"/>
  <c r="AH34" i="1"/>
  <c r="AG34" i="1"/>
  <c r="AF34" i="1"/>
  <c r="AE34" i="1"/>
  <c r="AD34" i="1"/>
  <c r="AC34" i="1"/>
  <c r="AB34" i="1"/>
  <c r="AI34" i="1" s="1"/>
  <c r="H102" i="4"/>
  <c r="G102" i="4"/>
  <c r="F102" i="4"/>
  <c r="E102" i="4"/>
  <c r="C102" i="4"/>
  <c r="B102" i="4"/>
  <c r="F100" i="4"/>
  <c r="B100" i="4"/>
  <c r="F99" i="4"/>
  <c r="B99" i="4"/>
  <c r="AJ34" i="1"/>
  <c r="AN34" i="1"/>
  <c r="AH33" i="1"/>
  <c r="AG33" i="1"/>
  <c r="AF33" i="1"/>
  <c r="AE33" i="1"/>
  <c r="AD33" i="1"/>
  <c r="AC33" i="1"/>
  <c r="AB33" i="1"/>
  <c r="L34" i="1"/>
  <c r="M34" i="1"/>
  <c r="C98" i="4"/>
  <c r="D98" i="4"/>
  <c r="E98" i="4"/>
  <c r="F98" i="4"/>
  <c r="G98" i="4"/>
  <c r="H98" i="4"/>
  <c r="B98" i="4"/>
  <c r="AM40" i="1" l="1"/>
  <c r="AK40" i="1"/>
  <c r="AN36" i="1"/>
  <c r="AL36" i="1"/>
  <c r="AJ36" i="1"/>
  <c r="AN35" i="1"/>
  <c r="AL35" i="1"/>
  <c r="AL34" i="1"/>
  <c r="AM34" i="1"/>
  <c r="AK34" i="1"/>
  <c r="AI33" i="1"/>
  <c r="AJ33" i="1"/>
  <c r="AK33" i="1"/>
  <c r="AL33" i="1"/>
  <c r="AM33" i="1"/>
  <c r="AN33" i="1"/>
  <c r="AI32" i="1"/>
  <c r="AJ32" i="1"/>
  <c r="AK32" i="1"/>
  <c r="AL32" i="1"/>
  <c r="AM32" i="1"/>
  <c r="AN32" i="1"/>
  <c r="AH32" i="1"/>
  <c r="AG32" i="1"/>
  <c r="AF32" i="1"/>
  <c r="AE32" i="1"/>
  <c r="AD32" i="1"/>
  <c r="AC32" i="1"/>
  <c r="AB32" i="1"/>
  <c r="L33" i="1"/>
  <c r="M33" i="1"/>
  <c r="L32" i="1" l="1"/>
  <c r="M32" i="1"/>
  <c r="AH31" i="1"/>
  <c r="AG31" i="1"/>
  <c r="AF31" i="1"/>
  <c r="AE31" i="1"/>
  <c r="AD31" i="1"/>
  <c r="AC31" i="1"/>
  <c r="AB31" i="1"/>
  <c r="AI31" i="1" s="1"/>
  <c r="AJ31" i="1"/>
  <c r="AK31" i="1"/>
  <c r="AL31" i="1"/>
  <c r="AM31" i="1"/>
  <c r="AN31" i="1"/>
  <c r="L31" i="1" l="1"/>
  <c r="M31" i="1"/>
  <c r="AH30" i="1"/>
  <c r="AG30" i="1"/>
  <c r="AF30" i="1"/>
  <c r="AE30" i="1"/>
  <c r="AD30" i="1"/>
  <c r="AC30" i="1"/>
  <c r="AB30" i="1"/>
  <c r="AI30" i="1"/>
  <c r="AJ30" i="1"/>
  <c r="AK30" i="1"/>
  <c r="AL30" i="1"/>
  <c r="AM30" i="1"/>
  <c r="AN30" i="1"/>
  <c r="AH29" i="1"/>
  <c r="AH28" i="1"/>
  <c r="AH27" i="1"/>
  <c r="AB29" i="1"/>
  <c r="AB28" i="1"/>
  <c r="AB27" i="1"/>
  <c r="AJ27" i="1" s="1"/>
  <c r="C88" i="4"/>
  <c r="D88" i="4"/>
  <c r="E88" i="4"/>
  <c r="F88" i="4"/>
  <c r="G88" i="4"/>
  <c r="H88" i="4"/>
  <c r="B88" i="4"/>
  <c r="L30" i="1"/>
  <c r="M30" i="1"/>
  <c r="L29" i="1"/>
  <c r="M29" i="1"/>
  <c r="AG29" i="1"/>
  <c r="AF29" i="1"/>
  <c r="AE29" i="1"/>
  <c r="AD29" i="1"/>
  <c r="AC29" i="1"/>
  <c r="AG28" i="1"/>
  <c r="AF28" i="1"/>
  <c r="AE28" i="1"/>
  <c r="AD28" i="1"/>
  <c r="AC28" i="1"/>
  <c r="AG27" i="1"/>
  <c r="AF27" i="1"/>
  <c r="AE27" i="1"/>
  <c r="AD27" i="1"/>
  <c r="AC27" i="1"/>
  <c r="AI27" i="1"/>
  <c r="AK27" i="1"/>
  <c r="AL27" i="1"/>
  <c r="AM27" i="1"/>
  <c r="AN27" i="1"/>
  <c r="AI28" i="1"/>
  <c r="AJ28" i="1"/>
  <c r="AK28" i="1"/>
  <c r="AL28" i="1"/>
  <c r="AM28" i="1"/>
  <c r="AN28" i="1"/>
  <c r="AI29" i="1"/>
  <c r="AJ29" i="1"/>
  <c r="AK29" i="1"/>
  <c r="AL29" i="1"/>
  <c r="AM29" i="1"/>
  <c r="AN29" i="1"/>
  <c r="AU29" i="1"/>
  <c r="AU28" i="1"/>
  <c r="AU27" i="1"/>
  <c r="M28" i="1"/>
  <c r="L28" i="1"/>
  <c r="L27" i="1"/>
  <c r="M27" i="1"/>
  <c r="AH26" i="1"/>
  <c r="AN26" i="1" s="1"/>
  <c r="AG26" i="1"/>
  <c r="AM26" i="1" s="1"/>
  <c r="AF26" i="1"/>
  <c r="AL26" i="1" s="1"/>
  <c r="AE26" i="1"/>
  <c r="AK26" i="1" s="1"/>
  <c r="AD26" i="1"/>
  <c r="AJ26" i="1" s="1"/>
  <c r="AC26" i="1"/>
  <c r="AI26" i="1" s="1"/>
  <c r="AB26" i="1"/>
  <c r="M26" i="1"/>
  <c r="L26" i="1"/>
  <c r="AH25" i="1"/>
  <c r="AG25" i="1"/>
  <c r="AF25" i="1"/>
  <c r="AE25" i="1"/>
  <c r="AD25" i="1"/>
  <c r="AC25" i="1"/>
  <c r="AB25" i="1"/>
  <c r="AI25" i="1" s="1"/>
  <c r="AJ25" i="1"/>
  <c r="AL25" i="1"/>
  <c r="AN25" i="1"/>
  <c r="L25" i="1"/>
  <c r="M25" i="1"/>
  <c r="AJ24" i="1"/>
  <c r="AL24" i="1"/>
  <c r="AN24" i="1"/>
  <c r="AH24" i="1"/>
  <c r="AG24" i="1"/>
  <c r="AM24" i="1" s="1"/>
  <c r="AF24" i="1"/>
  <c r="AE24" i="1"/>
  <c r="AK24" i="1" s="1"/>
  <c r="AD24" i="1"/>
  <c r="AC24" i="1"/>
  <c r="AI24" i="1" s="1"/>
  <c r="AH23" i="1"/>
  <c r="AG23" i="1"/>
  <c r="AM23" i="1" s="1"/>
  <c r="AF23" i="1"/>
  <c r="AE23" i="1"/>
  <c r="AK23" i="1" s="1"/>
  <c r="AD23" i="1"/>
  <c r="AC23" i="1"/>
  <c r="AI23" i="1" s="1"/>
  <c r="AB24" i="1"/>
  <c r="AB23" i="1"/>
  <c r="M24" i="1" s="1"/>
  <c r="L24" i="1"/>
  <c r="L23" i="1"/>
  <c r="AN21" i="1"/>
  <c r="AH22" i="1"/>
  <c r="AN22" i="1" s="1"/>
  <c r="AG22" i="1"/>
  <c r="AM22" i="1" s="1"/>
  <c r="AF22" i="1"/>
  <c r="AE22" i="1"/>
  <c r="AD22" i="1"/>
  <c r="AC22" i="1"/>
  <c r="AB22" i="1"/>
  <c r="AK22" i="1" s="1"/>
  <c r="AC21" i="1"/>
  <c r="AD21" i="1"/>
  <c r="AJ21" i="1" s="1"/>
  <c r="AE21" i="1"/>
  <c r="AF21" i="1"/>
  <c r="AL21" i="1" s="1"/>
  <c r="AH21" i="1"/>
  <c r="AG21" i="1"/>
  <c r="AM21" i="1" s="1"/>
  <c r="AB21" i="1"/>
  <c r="M22" i="1" s="1"/>
  <c r="L22" i="1"/>
  <c r="C80" i="4"/>
  <c r="D80" i="4"/>
  <c r="E80" i="4"/>
  <c r="F80" i="4"/>
  <c r="G80" i="4"/>
  <c r="H80" i="4"/>
  <c r="B80" i="4"/>
  <c r="C79" i="4"/>
  <c r="D79" i="4"/>
  <c r="E79" i="4"/>
  <c r="F79" i="4"/>
  <c r="G79" i="4"/>
  <c r="H79" i="4"/>
  <c r="B79" i="4"/>
  <c r="AM25" i="1" l="1"/>
  <c r="AK25" i="1"/>
  <c r="AI22" i="1"/>
  <c r="M23" i="1"/>
  <c r="AN23" i="1"/>
  <c r="AL23" i="1"/>
  <c r="AJ23" i="1"/>
  <c r="AK21" i="1"/>
  <c r="AI21" i="1"/>
  <c r="AJ22" i="1"/>
  <c r="AL22" i="1"/>
  <c r="L13" i="1"/>
  <c r="L14" i="1"/>
  <c r="L15" i="1"/>
  <c r="L16" i="1"/>
  <c r="L17" i="1"/>
  <c r="L18" i="1"/>
  <c r="L19" i="1"/>
  <c r="L20" i="1"/>
  <c r="L21" i="1"/>
  <c r="L9" i="1"/>
  <c r="L10" i="1"/>
  <c r="L11" i="1"/>
  <c r="L12" i="1"/>
  <c r="AH20" i="1"/>
  <c r="AG20" i="1"/>
  <c r="AF20" i="1"/>
  <c r="AE20" i="1"/>
  <c r="AD20" i="1"/>
  <c r="AC20" i="1"/>
  <c r="AB20" i="1"/>
  <c r="M21" i="1" s="1"/>
  <c r="AH19" i="1"/>
  <c r="AG19" i="1"/>
  <c r="AF19" i="1"/>
  <c r="AE19" i="1"/>
  <c r="AD19" i="1"/>
  <c r="AC19" i="1"/>
  <c r="AB19" i="1"/>
  <c r="M20" i="1" s="1"/>
  <c r="AH18" i="1"/>
  <c r="AG18" i="1"/>
  <c r="AF18" i="1"/>
  <c r="AE18" i="1"/>
  <c r="AD18" i="1"/>
  <c r="AC18" i="1"/>
  <c r="AB18" i="1"/>
  <c r="M19" i="1" s="1"/>
  <c r="H14" i="4"/>
  <c r="G14" i="4"/>
  <c r="F14" i="4"/>
  <c r="E14" i="4"/>
  <c r="D14" i="4"/>
  <c r="C14" i="4"/>
  <c r="B14" i="4"/>
  <c r="AN19" i="1" l="1"/>
  <c r="AN18" i="1"/>
  <c r="AI19" i="1"/>
  <c r="AK19" i="1"/>
  <c r="AM19" i="1"/>
  <c r="AN20" i="1"/>
  <c r="AJ18" i="1"/>
  <c r="AL18" i="1"/>
  <c r="AJ20" i="1"/>
  <c r="AL20" i="1"/>
  <c r="AI18" i="1"/>
  <c r="AK18" i="1"/>
  <c r="AM18" i="1"/>
  <c r="AJ19" i="1"/>
  <c r="AL19" i="1"/>
  <c r="AI20" i="1"/>
  <c r="AK20" i="1"/>
  <c r="AM20" i="1"/>
  <c r="AH17" i="1"/>
  <c r="AG17" i="1"/>
  <c r="AM17" i="1" s="1"/>
  <c r="AF17" i="1"/>
  <c r="AE17" i="1"/>
  <c r="AK17" i="1" s="1"/>
  <c r="AD17" i="1"/>
  <c r="AC17" i="1"/>
  <c r="AI17" i="1" s="1"/>
  <c r="AB17" i="1"/>
  <c r="M18" i="1" s="1"/>
  <c r="AH16" i="1"/>
  <c r="AG16" i="1"/>
  <c r="AF16" i="1"/>
  <c r="AE16" i="1"/>
  <c r="AD16" i="1"/>
  <c r="AC16" i="1"/>
  <c r="AB16" i="1"/>
  <c r="M17" i="1" s="1"/>
  <c r="AH15" i="1"/>
  <c r="AG15" i="1"/>
  <c r="AF15" i="1"/>
  <c r="AE15" i="1"/>
  <c r="AD6" i="1"/>
  <c r="AD15" i="1"/>
  <c r="AC15" i="1"/>
  <c r="AB15" i="1"/>
  <c r="M16" i="1" s="1"/>
  <c r="AU16" i="1"/>
  <c r="AU15" i="1"/>
  <c r="AH14" i="1"/>
  <c r="AG14" i="1"/>
  <c r="AM14" i="1" s="1"/>
  <c r="AF14" i="1"/>
  <c r="AE14" i="1"/>
  <c r="AK14" i="1" s="1"/>
  <c r="AD14" i="1"/>
  <c r="AC14" i="1"/>
  <c r="AI14" i="1" s="1"/>
  <c r="AB14" i="1"/>
  <c r="M15" i="1" s="1"/>
  <c r="AH13" i="1"/>
  <c r="AG13" i="1"/>
  <c r="AF13" i="1"/>
  <c r="AE13" i="1"/>
  <c r="AD13" i="1"/>
  <c r="AC13" i="1"/>
  <c r="AB13" i="1"/>
  <c r="M14" i="1" s="1"/>
  <c r="AH12" i="1"/>
  <c r="AG12" i="1"/>
  <c r="AM12" i="1" s="1"/>
  <c r="AF12" i="1"/>
  <c r="AE12" i="1"/>
  <c r="AK12" i="1" s="1"/>
  <c r="AD12" i="1"/>
  <c r="AC12" i="1"/>
  <c r="AI12" i="1" s="1"/>
  <c r="AB12" i="1"/>
  <c r="M13" i="1" s="1"/>
  <c r="H72" i="4"/>
  <c r="F72" i="4"/>
  <c r="B72" i="4"/>
  <c r="AH11" i="1"/>
  <c r="AG11" i="1"/>
  <c r="AM11" i="1" s="1"/>
  <c r="AF11" i="1"/>
  <c r="AE11" i="1"/>
  <c r="AK11" i="1" s="1"/>
  <c r="AD11" i="1"/>
  <c r="AC11" i="1"/>
  <c r="AI11" i="1" s="1"/>
  <c r="AB11" i="1"/>
  <c r="M12" i="1" s="1"/>
  <c r="AH10" i="1"/>
  <c r="AG10" i="1"/>
  <c r="AF10" i="1"/>
  <c r="AE10" i="1"/>
  <c r="AD10" i="1"/>
  <c r="AC10" i="1"/>
  <c r="AB10" i="1"/>
  <c r="M11" i="1" s="1"/>
  <c r="AH9" i="1"/>
  <c r="AG9" i="1"/>
  <c r="AM9" i="1" s="1"/>
  <c r="AF9" i="1"/>
  <c r="AE9" i="1"/>
  <c r="AK9" i="1" s="1"/>
  <c r="AD9" i="1"/>
  <c r="AC9" i="1"/>
  <c r="AI9" i="1" s="1"/>
  <c r="AB9" i="1"/>
  <c r="M10" i="1" s="1"/>
  <c r="AH8" i="1"/>
  <c r="AG8" i="1"/>
  <c r="AF8" i="1"/>
  <c r="AE8" i="1"/>
  <c r="AD8" i="1"/>
  <c r="AC8" i="1"/>
  <c r="AB8" i="1"/>
  <c r="M9" i="1" s="1"/>
  <c r="AN8" i="1" l="1"/>
  <c r="AN10" i="1"/>
  <c r="AN13" i="1"/>
  <c r="AN16" i="1"/>
  <c r="AN9" i="1"/>
  <c r="AN11" i="1"/>
  <c r="AN12" i="1"/>
  <c r="AN14" i="1"/>
  <c r="AN15" i="1"/>
  <c r="AN17" i="1"/>
  <c r="AJ8" i="1"/>
  <c r="AL8" i="1"/>
  <c r="AJ10" i="1"/>
  <c r="AL10" i="1"/>
  <c r="AJ13" i="1"/>
  <c r="AL13" i="1"/>
  <c r="AJ15" i="1"/>
  <c r="AK15" i="1"/>
  <c r="AM15" i="1"/>
  <c r="AJ16" i="1"/>
  <c r="AL16" i="1"/>
  <c r="AI8" i="1"/>
  <c r="AK8" i="1"/>
  <c r="AM8" i="1"/>
  <c r="AJ9" i="1"/>
  <c r="AL9" i="1"/>
  <c r="AI10" i="1"/>
  <c r="AK10" i="1"/>
  <c r="AM10" i="1"/>
  <c r="AJ11" i="1"/>
  <c r="AL11" i="1"/>
  <c r="AJ12" i="1"/>
  <c r="AL12" i="1"/>
  <c r="AI13" i="1"/>
  <c r="AK13" i="1"/>
  <c r="AM13" i="1"/>
  <c r="AJ14" i="1"/>
  <c r="AL14" i="1"/>
  <c r="AI15" i="1"/>
  <c r="AJ6" i="1"/>
  <c r="AL15" i="1"/>
  <c r="AI16" i="1"/>
  <c r="AK16" i="1"/>
  <c r="AM16" i="1"/>
  <c r="AJ17" i="1"/>
  <c r="AL17" i="1"/>
  <c r="AH7" i="1"/>
  <c r="AG7" i="1"/>
  <c r="AF7" i="1"/>
  <c r="AE7" i="1"/>
  <c r="AD7" i="1"/>
  <c r="AC7" i="1"/>
  <c r="L8" i="1"/>
  <c r="AB7" i="1"/>
  <c r="M8" i="1" s="1"/>
  <c r="AU7" i="1"/>
  <c r="AH6" i="1"/>
  <c r="AN6" i="1" s="1"/>
  <c r="AG6" i="1"/>
  <c r="AF6" i="1"/>
  <c r="AL6" i="1" s="1"/>
  <c r="AE6" i="1"/>
  <c r="AC6" i="1"/>
  <c r="AI6" i="1" s="1"/>
  <c r="AB6" i="1"/>
  <c r="M7" i="1" s="1"/>
  <c r="L7" i="1"/>
  <c r="H62" i="4"/>
  <c r="F62" i="4"/>
  <c r="B62" i="4"/>
  <c r="AH5" i="1"/>
  <c r="AG5" i="1"/>
  <c r="AF5" i="1"/>
  <c r="AE5" i="1"/>
  <c r="AD5" i="1"/>
  <c r="AC5" i="1"/>
  <c r="AB5" i="1"/>
  <c r="M6" i="1" s="1"/>
  <c r="AH4" i="1"/>
  <c r="AG4" i="1"/>
  <c r="AF4" i="1"/>
  <c r="AB4" i="1"/>
  <c r="M5" i="1" s="1"/>
  <c r="AE4" i="1"/>
  <c r="AD4" i="1"/>
  <c r="AJ4" i="1" s="1"/>
  <c r="AC4" i="1"/>
  <c r="G58" i="4"/>
  <c r="F58" i="4"/>
  <c r="E58" i="4"/>
  <c r="D58" i="4"/>
  <c r="C58" i="4"/>
  <c r="B58" i="4"/>
  <c r="L4" i="1"/>
  <c r="AV2" i="1"/>
  <c r="L3" i="1"/>
  <c r="M2" i="1"/>
  <c r="F41" i="4"/>
  <c r="E41" i="4"/>
  <c r="F33" i="4"/>
  <c r="AF3" i="1"/>
  <c r="AF2" i="1"/>
  <c r="AH3" i="1"/>
  <c r="AG3" i="1"/>
  <c r="AE3" i="1"/>
  <c r="AD3" i="1"/>
  <c r="AC3" i="1"/>
  <c r="AB3" i="1"/>
  <c r="M4" i="1" s="1"/>
  <c r="AH2" i="1"/>
  <c r="AG2" i="1"/>
  <c r="AE2" i="1"/>
  <c r="AD2" i="1"/>
  <c r="AC2" i="1"/>
  <c r="AB2" i="1"/>
  <c r="M3" i="1" s="1"/>
  <c r="C41" i="4"/>
  <c r="D41" i="4"/>
  <c r="G41" i="4"/>
  <c r="H41" i="4"/>
  <c r="B41" i="4"/>
  <c r="H33" i="4"/>
  <c r="D33" i="4"/>
  <c r="E33" i="4"/>
  <c r="G33" i="4"/>
  <c r="C33" i="4"/>
  <c r="B33" i="4"/>
  <c r="AN5" i="1" l="1"/>
  <c r="AN2" i="1"/>
  <c r="AN3" i="1"/>
  <c r="AN4" i="1"/>
  <c r="AN7" i="1"/>
  <c r="AJ2" i="1"/>
  <c r="AM2" i="1"/>
  <c r="AJ3" i="1"/>
  <c r="AM3" i="1"/>
  <c r="AL2" i="1"/>
  <c r="AM4" i="1"/>
  <c r="AJ5" i="1"/>
  <c r="AL5" i="1"/>
  <c r="AI7" i="1"/>
  <c r="AK7" i="1"/>
  <c r="AM7" i="1"/>
  <c r="AI2" i="1"/>
  <c r="AK2" i="1"/>
  <c r="AI3" i="1"/>
  <c r="AK3" i="1"/>
  <c r="AL3" i="1"/>
  <c r="AI4" i="1"/>
  <c r="AK4" i="1"/>
  <c r="AL4" i="1"/>
  <c r="AI5" i="1"/>
  <c r="AK5" i="1"/>
  <c r="AM5" i="1"/>
  <c r="AK6" i="1"/>
  <c r="AM6" i="1"/>
  <c r="AJ7" i="1"/>
  <c r="AL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E1" authorId="0" shapeId="0" xr:uid="{42CE3F0B-FAD3-4281-840A-654AC253C622}">
      <text>
        <r>
          <rPr>
            <b/>
            <sz val="9"/>
            <color indexed="81"/>
            <rFont val="Tahoma"/>
            <family val="2"/>
          </rPr>
          <t>Janis Corona:</t>
        </r>
        <r>
          <rPr>
            <sz val="9"/>
            <color indexed="81"/>
            <rFont val="Tahoma"/>
            <family val="2"/>
          </rPr>
          <t xml:space="preserve">
https://www.timeanddate.com/weather/usa/corona/historic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A5" authorId="0" shapeId="0" xr:uid="{78F9C2B7-20C4-4339-BDC1-F431844E816B}">
      <text>
        <r>
          <rPr>
            <b/>
            <sz val="9"/>
            <color indexed="81"/>
            <rFont val="Tahoma"/>
            <family val="2"/>
          </rPr>
          <t>Janis Corona:</t>
        </r>
        <r>
          <rPr>
            <sz val="9"/>
            <color indexed="81"/>
            <rFont val="Tahoma"/>
            <family val="2"/>
          </rPr>
          <t xml:space="preserve">
https://www.timeanddate.com/weather/usa/corona/historic
</t>
        </r>
      </text>
    </comment>
    <comment ref="A16390" authorId="0" shapeId="0" xr:uid="{B596867A-7126-4786-BD63-BB6661D8C430}">
      <text>
        <r>
          <rPr>
            <b/>
            <sz val="9"/>
            <color indexed="81"/>
            <rFont val="Tahoma"/>
            <family val="2"/>
          </rPr>
          <t>Janis Corona:</t>
        </r>
        <r>
          <rPr>
            <sz val="9"/>
            <color indexed="81"/>
            <rFont val="Tahoma"/>
            <family val="2"/>
          </rPr>
          <t xml:space="preserve">
https://www.timeanddate.com/weather/usa/corona/historic
</t>
        </r>
      </text>
    </comment>
    <comment ref="A32774" authorId="0" shapeId="0" xr:uid="{58C2E097-3A86-43E2-AECE-D2C0E15DAE89}">
      <text>
        <r>
          <rPr>
            <b/>
            <sz val="9"/>
            <color indexed="81"/>
            <rFont val="Tahoma"/>
            <family val="2"/>
          </rPr>
          <t>Janis Corona:</t>
        </r>
        <r>
          <rPr>
            <sz val="9"/>
            <color indexed="81"/>
            <rFont val="Tahoma"/>
            <family val="2"/>
          </rPr>
          <t xml:space="preserve">
https://www.timeanddate.com/weather/usa/corona/historic
</t>
        </r>
      </text>
    </comment>
    <comment ref="A49158" authorId="0" shapeId="0" xr:uid="{A577CBE8-4C4B-465D-B6EE-FA54F21E44E2}">
      <text>
        <r>
          <rPr>
            <b/>
            <sz val="9"/>
            <color indexed="81"/>
            <rFont val="Tahoma"/>
            <family val="2"/>
          </rPr>
          <t>Janis Corona:</t>
        </r>
        <r>
          <rPr>
            <sz val="9"/>
            <color indexed="81"/>
            <rFont val="Tahoma"/>
            <family val="2"/>
          </rPr>
          <t xml:space="preserve">
https://www.timeanddate.com/weather/usa/corona/historic
</t>
        </r>
      </text>
    </comment>
    <comment ref="A65542" authorId="0" shapeId="0" xr:uid="{3E54E5C9-51FC-4846-A04A-C082FA973A5D}">
      <text>
        <r>
          <rPr>
            <b/>
            <sz val="9"/>
            <color indexed="81"/>
            <rFont val="Tahoma"/>
            <family val="2"/>
          </rPr>
          <t>Janis Corona:</t>
        </r>
        <r>
          <rPr>
            <sz val="9"/>
            <color indexed="81"/>
            <rFont val="Tahoma"/>
            <family val="2"/>
          </rPr>
          <t xml:space="preserve">
https://www.timeanddate.com/weather/usa/corona/historic
</t>
        </r>
      </text>
    </comment>
    <comment ref="A81926" authorId="0" shapeId="0" xr:uid="{575FEB09-C1F0-4A0E-AB39-353927D9EC14}">
      <text>
        <r>
          <rPr>
            <b/>
            <sz val="9"/>
            <color indexed="81"/>
            <rFont val="Tahoma"/>
            <family val="2"/>
          </rPr>
          <t>Janis Corona:</t>
        </r>
        <r>
          <rPr>
            <sz val="9"/>
            <color indexed="81"/>
            <rFont val="Tahoma"/>
            <family val="2"/>
          </rPr>
          <t xml:space="preserve">
https://www.timeanddate.com/weather/usa/corona/historic
</t>
        </r>
      </text>
    </comment>
    <comment ref="A98310" authorId="0" shapeId="0" xr:uid="{339B8BB0-8805-461F-9D7E-A7BCE0E90819}">
      <text>
        <r>
          <rPr>
            <b/>
            <sz val="9"/>
            <color indexed="81"/>
            <rFont val="Tahoma"/>
            <family val="2"/>
          </rPr>
          <t>Janis Corona:</t>
        </r>
        <r>
          <rPr>
            <sz val="9"/>
            <color indexed="81"/>
            <rFont val="Tahoma"/>
            <family val="2"/>
          </rPr>
          <t xml:space="preserve">
https://www.timeanddate.com/weather/usa/corona/historic
</t>
        </r>
      </text>
    </comment>
    <comment ref="A114694" authorId="0" shapeId="0" xr:uid="{0DEFE4E9-903F-43C9-9234-D72515037C5B}">
      <text>
        <r>
          <rPr>
            <b/>
            <sz val="9"/>
            <color indexed="81"/>
            <rFont val="Tahoma"/>
            <family val="2"/>
          </rPr>
          <t>Janis Corona:</t>
        </r>
        <r>
          <rPr>
            <sz val="9"/>
            <color indexed="81"/>
            <rFont val="Tahoma"/>
            <family val="2"/>
          </rPr>
          <t xml:space="preserve">
https://www.timeanddate.com/weather/usa/corona/historic
</t>
        </r>
      </text>
    </comment>
    <comment ref="A131078" authorId="0" shapeId="0" xr:uid="{F9C7C340-9184-4690-B93E-3283C6322038}">
      <text>
        <r>
          <rPr>
            <b/>
            <sz val="9"/>
            <color indexed="81"/>
            <rFont val="Tahoma"/>
            <family val="2"/>
          </rPr>
          <t>Janis Corona:</t>
        </r>
        <r>
          <rPr>
            <sz val="9"/>
            <color indexed="81"/>
            <rFont val="Tahoma"/>
            <family val="2"/>
          </rPr>
          <t xml:space="preserve">
https://www.timeanddate.com/weather/usa/corona/historic
</t>
        </r>
      </text>
    </comment>
    <comment ref="A147462" authorId="0" shapeId="0" xr:uid="{D163125A-8015-4DE6-AC3C-9A73CD966ED6}">
      <text>
        <r>
          <rPr>
            <b/>
            <sz val="9"/>
            <color indexed="81"/>
            <rFont val="Tahoma"/>
            <family val="2"/>
          </rPr>
          <t>Janis Corona:</t>
        </r>
        <r>
          <rPr>
            <sz val="9"/>
            <color indexed="81"/>
            <rFont val="Tahoma"/>
            <family val="2"/>
          </rPr>
          <t xml:space="preserve">
https://www.timeanddate.com/weather/usa/corona/historic
</t>
        </r>
      </text>
    </comment>
    <comment ref="A163846" authorId="0" shapeId="0" xr:uid="{97E8A5E3-C0BD-4621-8494-4D1CE215E4DD}">
      <text>
        <r>
          <rPr>
            <b/>
            <sz val="9"/>
            <color indexed="81"/>
            <rFont val="Tahoma"/>
            <family val="2"/>
          </rPr>
          <t>Janis Corona:</t>
        </r>
        <r>
          <rPr>
            <sz val="9"/>
            <color indexed="81"/>
            <rFont val="Tahoma"/>
            <family val="2"/>
          </rPr>
          <t xml:space="preserve">
https://www.timeanddate.com/weather/usa/corona/historic
</t>
        </r>
      </text>
    </comment>
    <comment ref="A180230" authorId="0" shapeId="0" xr:uid="{4EF5F4B0-3DF2-4154-8C2F-0101D63D4F9A}">
      <text>
        <r>
          <rPr>
            <b/>
            <sz val="9"/>
            <color indexed="81"/>
            <rFont val="Tahoma"/>
            <family val="2"/>
          </rPr>
          <t>Janis Corona:</t>
        </r>
        <r>
          <rPr>
            <sz val="9"/>
            <color indexed="81"/>
            <rFont val="Tahoma"/>
            <family val="2"/>
          </rPr>
          <t xml:space="preserve">
https://www.timeanddate.com/weather/usa/corona/historic
</t>
        </r>
      </text>
    </comment>
    <comment ref="A196614" authorId="0" shapeId="0" xr:uid="{492A93F4-0181-417A-A3C7-E56DD80F7402}">
      <text>
        <r>
          <rPr>
            <b/>
            <sz val="9"/>
            <color indexed="81"/>
            <rFont val="Tahoma"/>
            <family val="2"/>
          </rPr>
          <t>Janis Corona:</t>
        </r>
        <r>
          <rPr>
            <sz val="9"/>
            <color indexed="81"/>
            <rFont val="Tahoma"/>
            <family val="2"/>
          </rPr>
          <t xml:space="preserve">
https://www.timeanddate.com/weather/usa/corona/historic
</t>
        </r>
      </text>
    </comment>
    <comment ref="A212998" authorId="0" shapeId="0" xr:uid="{1D0C9893-8944-4E4C-846E-74151C7AD511}">
      <text>
        <r>
          <rPr>
            <b/>
            <sz val="9"/>
            <color indexed="81"/>
            <rFont val="Tahoma"/>
            <family val="2"/>
          </rPr>
          <t>Janis Corona:</t>
        </r>
        <r>
          <rPr>
            <sz val="9"/>
            <color indexed="81"/>
            <rFont val="Tahoma"/>
            <family val="2"/>
          </rPr>
          <t xml:space="preserve">
https://www.timeanddate.com/weather/usa/corona/historic
</t>
        </r>
      </text>
    </comment>
    <comment ref="A229382" authorId="0" shapeId="0" xr:uid="{0873D764-A600-450F-8D96-FF7EE2185C8A}">
      <text>
        <r>
          <rPr>
            <b/>
            <sz val="9"/>
            <color indexed="81"/>
            <rFont val="Tahoma"/>
            <family val="2"/>
          </rPr>
          <t>Janis Corona:</t>
        </r>
        <r>
          <rPr>
            <sz val="9"/>
            <color indexed="81"/>
            <rFont val="Tahoma"/>
            <family val="2"/>
          </rPr>
          <t xml:space="preserve">
https://www.timeanddate.com/weather/usa/corona/historic
</t>
        </r>
      </text>
    </comment>
    <comment ref="A245766" authorId="0" shapeId="0" xr:uid="{B401F719-87D6-417F-8DD8-5C7EDB41DFB1}">
      <text>
        <r>
          <rPr>
            <b/>
            <sz val="9"/>
            <color indexed="81"/>
            <rFont val="Tahoma"/>
            <family val="2"/>
          </rPr>
          <t>Janis Corona:</t>
        </r>
        <r>
          <rPr>
            <sz val="9"/>
            <color indexed="81"/>
            <rFont val="Tahoma"/>
            <family val="2"/>
          </rPr>
          <t xml:space="preserve">
https://www.timeanddate.com/weather/usa/corona/historic
</t>
        </r>
      </text>
    </comment>
    <comment ref="A262150" authorId="0" shapeId="0" xr:uid="{B8950071-BF5C-4D04-9BA8-C4FA3CEA6835}">
      <text>
        <r>
          <rPr>
            <b/>
            <sz val="9"/>
            <color indexed="81"/>
            <rFont val="Tahoma"/>
            <family val="2"/>
          </rPr>
          <t>Janis Corona:</t>
        </r>
        <r>
          <rPr>
            <sz val="9"/>
            <color indexed="81"/>
            <rFont val="Tahoma"/>
            <family val="2"/>
          </rPr>
          <t xml:space="preserve">
https://www.timeanddate.com/weather/usa/corona/historic
</t>
        </r>
      </text>
    </comment>
    <comment ref="A278534" authorId="0" shapeId="0" xr:uid="{A0582BCE-6EA5-4CFF-8DA6-DB3781828BDA}">
      <text>
        <r>
          <rPr>
            <b/>
            <sz val="9"/>
            <color indexed="81"/>
            <rFont val="Tahoma"/>
            <family val="2"/>
          </rPr>
          <t>Janis Corona:</t>
        </r>
        <r>
          <rPr>
            <sz val="9"/>
            <color indexed="81"/>
            <rFont val="Tahoma"/>
            <family val="2"/>
          </rPr>
          <t xml:space="preserve">
https://www.timeanddate.com/weather/usa/corona/historic
</t>
        </r>
      </text>
    </comment>
    <comment ref="A294918" authorId="0" shapeId="0" xr:uid="{37628EAF-7F7D-4E55-B85A-507FA5C07F19}">
      <text>
        <r>
          <rPr>
            <b/>
            <sz val="9"/>
            <color indexed="81"/>
            <rFont val="Tahoma"/>
            <family val="2"/>
          </rPr>
          <t>Janis Corona:</t>
        </r>
        <r>
          <rPr>
            <sz val="9"/>
            <color indexed="81"/>
            <rFont val="Tahoma"/>
            <family val="2"/>
          </rPr>
          <t xml:space="preserve">
https://www.timeanddate.com/weather/usa/corona/historic
</t>
        </r>
      </text>
    </comment>
    <comment ref="A311302" authorId="0" shapeId="0" xr:uid="{EE7F27B1-F6D5-4F75-878C-0394070456AA}">
      <text>
        <r>
          <rPr>
            <b/>
            <sz val="9"/>
            <color indexed="81"/>
            <rFont val="Tahoma"/>
            <family val="2"/>
          </rPr>
          <t>Janis Corona:</t>
        </r>
        <r>
          <rPr>
            <sz val="9"/>
            <color indexed="81"/>
            <rFont val="Tahoma"/>
            <family val="2"/>
          </rPr>
          <t xml:space="preserve">
https://www.timeanddate.com/weather/usa/corona/historic
</t>
        </r>
      </text>
    </comment>
    <comment ref="A327686" authorId="0" shapeId="0" xr:uid="{9611FCBF-EDD3-4B79-99D2-C184AD0AFDDF}">
      <text>
        <r>
          <rPr>
            <b/>
            <sz val="9"/>
            <color indexed="81"/>
            <rFont val="Tahoma"/>
            <family val="2"/>
          </rPr>
          <t>Janis Corona:</t>
        </r>
        <r>
          <rPr>
            <sz val="9"/>
            <color indexed="81"/>
            <rFont val="Tahoma"/>
            <family val="2"/>
          </rPr>
          <t xml:space="preserve">
https://www.timeanddate.com/weather/usa/corona/historic
</t>
        </r>
      </text>
    </comment>
    <comment ref="A344070" authorId="0" shapeId="0" xr:uid="{6691900B-2A5F-4489-B08B-5CC91AEE27FD}">
      <text>
        <r>
          <rPr>
            <b/>
            <sz val="9"/>
            <color indexed="81"/>
            <rFont val="Tahoma"/>
            <family val="2"/>
          </rPr>
          <t>Janis Corona:</t>
        </r>
        <r>
          <rPr>
            <sz val="9"/>
            <color indexed="81"/>
            <rFont val="Tahoma"/>
            <family val="2"/>
          </rPr>
          <t xml:space="preserve">
https://www.timeanddate.com/weather/usa/corona/historic
</t>
        </r>
      </text>
    </comment>
    <comment ref="A360454" authorId="0" shapeId="0" xr:uid="{F4FBB12B-8E75-458A-867E-AD0279BC27A1}">
      <text>
        <r>
          <rPr>
            <b/>
            <sz val="9"/>
            <color indexed="81"/>
            <rFont val="Tahoma"/>
            <family val="2"/>
          </rPr>
          <t>Janis Corona:</t>
        </r>
        <r>
          <rPr>
            <sz val="9"/>
            <color indexed="81"/>
            <rFont val="Tahoma"/>
            <family val="2"/>
          </rPr>
          <t xml:space="preserve">
https://www.timeanddate.com/weather/usa/corona/historic
</t>
        </r>
      </text>
    </comment>
    <comment ref="A376838" authorId="0" shapeId="0" xr:uid="{A8C231C5-877E-41B7-87DC-B7C0E067693B}">
      <text>
        <r>
          <rPr>
            <b/>
            <sz val="9"/>
            <color indexed="81"/>
            <rFont val="Tahoma"/>
            <family val="2"/>
          </rPr>
          <t>Janis Corona:</t>
        </r>
        <r>
          <rPr>
            <sz val="9"/>
            <color indexed="81"/>
            <rFont val="Tahoma"/>
            <family val="2"/>
          </rPr>
          <t xml:space="preserve">
https://www.timeanddate.com/weather/usa/corona/historic
</t>
        </r>
      </text>
    </comment>
    <comment ref="A393222" authorId="0" shapeId="0" xr:uid="{660074BB-C20E-46D0-9DBF-1A3B8343651B}">
      <text>
        <r>
          <rPr>
            <b/>
            <sz val="9"/>
            <color indexed="81"/>
            <rFont val="Tahoma"/>
            <family val="2"/>
          </rPr>
          <t>Janis Corona:</t>
        </r>
        <r>
          <rPr>
            <sz val="9"/>
            <color indexed="81"/>
            <rFont val="Tahoma"/>
            <family val="2"/>
          </rPr>
          <t xml:space="preserve">
https://www.timeanddate.com/weather/usa/corona/historic
</t>
        </r>
      </text>
    </comment>
    <comment ref="A409606" authorId="0" shapeId="0" xr:uid="{E8A718BB-E858-4306-B5C3-CF31E3378DD4}">
      <text>
        <r>
          <rPr>
            <b/>
            <sz val="9"/>
            <color indexed="81"/>
            <rFont val="Tahoma"/>
            <family val="2"/>
          </rPr>
          <t>Janis Corona:</t>
        </r>
        <r>
          <rPr>
            <sz val="9"/>
            <color indexed="81"/>
            <rFont val="Tahoma"/>
            <family val="2"/>
          </rPr>
          <t xml:space="preserve">
https://www.timeanddate.com/weather/usa/corona/historic
</t>
        </r>
      </text>
    </comment>
    <comment ref="A425990" authorId="0" shapeId="0" xr:uid="{3200D286-0E99-4D06-AD48-18839975357B}">
      <text>
        <r>
          <rPr>
            <b/>
            <sz val="9"/>
            <color indexed="81"/>
            <rFont val="Tahoma"/>
            <family val="2"/>
          </rPr>
          <t>Janis Corona:</t>
        </r>
        <r>
          <rPr>
            <sz val="9"/>
            <color indexed="81"/>
            <rFont val="Tahoma"/>
            <family val="2"/>
          </rPr>
          <t xml:space="preserve">
https://www.timeanddate.com/weather/usa/corona/historic
</t>
        </r>
      </text>
    </comment>
    <comment ref="A442374" authorId="0" shapeId="0" xr:uid="{CDFC37A5-BC20-4352-86A9-2298CB9186FC}">
      <text>
        <r>
          <rPr>
            <b/>
            <sz val="9"/>
            <color indexed="81"/>
            <rFont val="Tahoma"/>
            <family val="2"/>
          </rPr>
          <t>Janis Corona:</t>
        </r>
        <r>
          <rPr>
            <sz val="9"/>
            <color indexed="81"/>
            <rFont val="Tahoma"/>
            <family val="2"/>
          </rPr>
          <t xml:space="preserve">
https://www.timeanddate.com/weather/usa/corona/historic
</t>
        </r>
      </text>
    </comment>
    <comment ref="A458758" authorId="0" shapeId="0" xr:uid="{6754A8D8-9C46-46A9-92C4-E621808EB390}">
      <text>
        <r>
          <rPr>
            <b/>
            <sz val="9"/>
            <color indexed="81"/>
            <rFont val="Tahoma"/>
            <family val="2"/>
          </rPr>
          <t>Janis Corona:</t>
        </r>
        <r>
          <rPr>
            <sz val="9"/>
            <color indexed="81"/>
            <rFont val="Tahoma"/>
            <family val="2"/>
          </rPr>
          <t xml:space="preserve">
https://www.timeanddate.com/weather/usa/corona/historic
</t>
        </r>
      </text>
    </comment>
    <comment ref="A475142" authorId="0" shapeId="0" xr:uid="{A71ECBF3-95B9-4863-B7E5-3EF33281DC28}">
      <text>
        <r>
          <rPr>
            <b/>
            <sz val="9"/>
            <color indexed="81"/>
            <rFont val="Tahoma"/>
            <family val="2"/>
          </rPr>
          <t>Janis Corona:</t>
        </r>
        <r>
          <rPr>
            <sz val="9"/>
            <color indexed="81"/>
            <rFont val="Tahoma"/>
            <family val="2"/>
          </rPr>
          <t xml:space="preserve">
https://www.timeanddate.com/weather/usa/corona/historic
</t>
        </r>
      </text>
    </comment>
    <comment ref="A491526" authorId="0" shapeId="0" xr:uid="{5EAABFF6-9073-44EC-8EF4-AFBBE2FBDE4C}">
      <text>
        <r>
          <rPr>
            <b/>
            <sz val="9"/>
            <color indexed="81"/>
            <rFont val="Tahoma"/>
            <family val="2"/>
          </rPr>
          <t>Janis Corona:</t>
        </r>
        <r>
          <rPr>
            <sz val="9"/>
            <color indexed="81"/>
            <rFont val="Tahoma"/>
            <family val="2"/>
          </rPr>
          <t xml:space="preserve">
https://www.timeanddate.com/weather/usa/corona/historic
</t>
        </r>
      </text>
    </comment>
    <comment ref="A507910" authorId="0" shapeId="0" xr:uid="{69B629E3-A813-4DC6-ADFE-D45FCED17F34}">
      <text>
        <r>
          <rPr>
            <b/>
            <sz val="9"/>
            <color indexed="81"/>
            <rFont val="Tahoma"/>
            <family val="2"/>
          </rPr>
          <t>Janis Corona:</t>
        </r>
        <r>
          <rPr>
            <sz val="9"/>
            <color indexed="81"/>
            <rFont val="Tahoma"/>
            <family val="2"/>
          </rPr>
          <t xml:space="preserve">
https://www.timeanddate.com/weather/usa/corona/historic
</t>
        </r>
      </text>
    </comment>
    <comment ref="A524294" authorId="0" shapeId="0" xr:uid="{FA7E5A96-236D-479A-9090-8B24B1064F5F}">
      <text>
        <r>
          <rPr>
            <b/>
            <sz val="9"/>
            <color indexed="81"/>
            <rFont val="Tahoma"/>
            <family val="2"/>
          </rPr>
          <t>Janis Corona:</t>
        </r>
        <r>
          <rPr>
            <sz val="9"/>
            <color indexed="81"/>
            <rFont val="Tahoma"/>
            <family val="2"/>
          </rPr>
          <t xml:space="preserve">
https://www.timeanddate.com/weather/usa/corona/historic
</t>
        </r>
      </text>
    </comment>
    <comment ref="A540678" authorId="0" shapeId="0" xr:uid="{2841D0D0-394B-4048-810E-62E0A0DFBC50}">
      <text>
        <r>
          <rPr>
            <b/>
            <sz val="9"/>
            <color indexed="81"/>
            <rFont val="Tahoma"/>
            <family val="2"/>
          </rPr>
          <t>Janis Corona:</t>
        </r>
        <r>
          <rPr>
            <sz val="9"/>
            <color indexed="81"/>
            <rFont val="Tahoma"/>
            <family val="2"/>
          </rPr>
          <t xml:space="preserve">
https://www.timeanddate.com/weather/usa/corona/historic
</t>
        </r>
      </text>
    </comment>
    <comment ref="A557062" authorId="0" shapeId="0" xr:uid="{844F957E-5BA0-4876-B73B-4E4EB0B8912C}">
      <text>
        <r>
          <rPr>
            <b/>
            <sz val="9"/>
            <color indexed="81"/>
            <rFont val="Tahoma"/>
            <family val="2"/>
          </rPr>
          <t>Janis Corona:</t>
        </r>
        <r>
          <rPr>
            <sz val="9"/>
            <color indexed="81"/>
            <rFont val="Tahoma"/>
            <family val="2"/>
          </rPr>
          <t xml:space="preserve">
https://www.timeanddate.com/weather/usa/corona/historic
</t>
        </r>
      </text>
    </comment>
    <comment ref="A573446" authorId="0" shapeId="0" xr:uid="{E408BC0C-88B6-4112-9949-41C815FEC3D5}">
      <text>
        <r>
          <rPr>
            <b/>
            <sz val="9"/>
            <color indexed="81"/>
            <rFont val="Tahoma"/>
            <family val="2"/>
          </rPr>
          <t>Janis Corona:</t>
        </r>
        <r>
          <rPr>
            <sz val="9"/>
            <color indexed="81"/>
            <rFont val="Tahoma"/>
            <family val="2"/>
          </rPr>
          <t xml:space="preserve">
https://www.timeanddate.com/weather/usa/corona/historic
</t>
        </r>
      </text>
    </comment>
    <comment ref="A589830" authorId="0" shapeId="0" xr:uid="{B8BEFDCA-3424-4BB5-81CB-57786B83674B}">
      <text>
        <r>
          <rPr>
            <b/>
            <sz val="9"/>
            <color indexed="81"/>
            <rFont val="Tahoma"/>
            <family val="2"/>
          </rPr>
          <t>Janis Corona:</t>
        </r>
        <r>
          <rPr>
            <sz val="9"/>
            <color indexed="81"/>
            <rFont val="Tahoma"/>
            <family val="2"/>
          </rPr>
          <t xml:space="preserve">
https://www.timeanddate.com/weather/usa/corona/historic
</t>
        </r>
      </text>
    </comment>
    <comment ref="A606214" authorId="0" shapeId="0" xr:uid="{D4E937EC-1F94-4646-A6A8-806FA035C265}">
      <text>
        <r>
          <rPr>
            <b/>
            <sz val="9"/>
            <color indexed="81"/>
            <rFont val="Tahoma"/>
            <family val="2"/>
          </rPr>
          <t>Janis Corona:</t>
        </r>
        <r>
          <rPr>
            <sz val="9"/>
            <color indexed="81"/>
            <rFont val="Tahoma"/>
            <family val="2"/>
          </rPr>
          <t xml:space="preserve">
https://www.timeanddate.com/weather/usa/corona/historic
</t>
        </r>
      </text>
    </comment>
    <comment ref="A622598" authorId="0" shapeId="0" xr:uid="{79F706AE-F38E-4970-BA88-C6A3927E7A59}">
      <text>
        <r>
          <rPr>
            <b/>
            <sz val="9"/>
            <color indexed="81"/>
            <rFont val="Tahoma"/>
            <family val="2"/>
          </rPr>
          <t>Janis Corona:</t>
        </r>
        <r>
          <rPr>
            <sz val="9"/>
            <color indexed="81"/>
            <rFont val="Tahoma"/>
            <family val="2"/>
          </rPr>
          <t xml:space="preserve">
https://www.timeanddate.com/weather/usa/corona/historic
</t>
        </r>
      </text>
    </comment>
    <comment ref="A638982" authorId="0" shapeId="0" xr:uid="{5290640C-4557-47DB-B67B-B5126E5C7FCC}">
      <text>
        <r>
          <rPr>
            <b/>
            <sz val="9"/>
            <color indexed="81"/>
            <rFont val="Tahoma"/>
            <family val="2"/>
          </rPr>
          <t>Janis Corona:</t>
        </r>
        <r>
          <rPr>
            <sz val="9"/>
            <color indexed="81"/>
            <rFont val="Tahoma"/>
            <family val="2"/>
          </rPr>
          <t xml:space="preserve">
https://www.timeanddate.com/weather/usa/corona/historic
</t>
        </r>
      </text>
    </comment>
    <comment ref="A655366" authorId="0" shapeId="0" xr:uid="{884B7899-F449-460D-9A07-067EF40ADB34}">
      <text>
        <r>
          <rPr>
            <b/>
            <sz val="9"/>
            <color indexed="81"/>
            <rFont val="Tahoma"/>
            <family val="2"/>
          </rPr>
          <t>Janis Corona:</t>
        </r>
        <r>
          <rPr>
            <sz val="9"/>
            <color indexed="81"/>
            <rFont val="Tahoma"/>
            <family val="2"/>
          </rPr>
          <t xml:space="preserve">
https://www.timeanddate.com/weather/usa/corona/historic
</t>
        </r>
      </text>
    </comment>
    <comment ref="A671750" authorId="0" shapeId="0" xr:uid="{153DB667-8669-4B8C-A003-E5BF0070EFFF}">
      <text>
        <r>
          <rPr>
            <b/>
            <sz val="9"/>
            <color indexed="81"/>
            <rFont val="Tahoma"/>
            <family val="2"/>
          </rPr>
          <t>Janis Corona:</t>
        </r>
        <r>
          <rPr>
            <sz val="9"/>
            <color indexed="81"/>
            <rFont val="Tahoma"/>
            <family val="2"/>
          </rPr>
          <t xml:space="preserve">
https://www.timeanddate.com/weather/usa/corona/historic
</t>
        </r>
      </text>
    </comment>
    <comment ref="A688134" authorId="0" shapeId="0" xr:uid="{9E07E630-BF42-4E91-A2D2-2B91F07A83C9}">
      <text>
        <r>
          <rPr>
            <b/>
            <sz val="9"/>
            <color indexed="81"/>
            <rFont val="Tahoma"/>
            <family val="2"/>
          </rPr>
          <t>Janis Corona:</t>
        </r>
        <r>
          <rPr>
            <sz val="9"/>
            <color indexed="81"/>
            <rFont val="Tahoma"/>
            <family val="2"/>
          </rPr>
          <t xml:space="preserve">
https://www.timeanddate.com/weather/usa/corona/historic
</t>
        </r>
      </text>
    </comment>
    <comment ref="A704518" authorId="0" shapeId="0" xr:uid="{D989BBA2-73C7-4FA0-8109-28D60F278770}">
      <text>
        <r>
          <rPr>
            <b/>
            <sz val="9"/>
            <color indexed="81"/>
            <rFont val="Tahoma"/>
            <family val="2"/>
          </rPr>
          <t>Janis Corona:</t>
        </r>
        <r>
          <rPr>
            <sz val="9"/>
            <color indexed="81"/>
            <rFont val="Tahoma"/>
            <family val="2"/>
          </rPr>
          <t xml:space="preserve">
https://www.timeanddate.com/weather/usa/corona/historic
</t>
        </r>
      </text>
    </comment>
    <comment ref="A720902" authorId="0" shapeId="0" xr:uid="{07FC0DBC-81AB-4EB1-B730-26936899C1FB}">
      <text>
        <r>
          <rPr>
            <b/>
            <sz val="9"/>
            <color indexed="81"/>
            <rFont val="Tahoma"/>
            <family val="2"/>
          </rPr>
          <t>Janis Corona:</t>
        </r>
        <r>
          <rPr>
            <sz val="9"/>
            <color indexed="81"/>
            <rFont val="Tahoma"/>
            <family val="2"/>
          </rPr>
          <t xml:space="preserve">
https://www.timeanddate.com/weather/usa/corona/historic
</t>
        </r>
      </text>
    </comment>
    <comment ref="A737286" authorId="0" shapeId="0" xr:uid="{028A1C19-ADC7-4139-ABCB-39C7526A8481}">
      <text>
        <r>
          <rPr>
            <b/>
            <sz val="9"/>
            <color indexed="81"/>
            <rFont val="Tahoma"/>
            <family val="2"/>
          </rPr>
          <t>Janis Corona:</t>
        </r>
        <r>
          <rPr>
            <sz val="9"/>
            <color indexed="81"/>
            <rFont val="Tahoma"/>
            <family val="2"/>
          </rPr>
          <t xml:space="preserve">
https://www.timeanddate.com/weather/usa/corona/historic
</t>
        </r>
      </text>
    </comment>
    <comment ref="A753670" authorId="0" shapeId="0" xr:uid="{26C0B414-4705-4602-8B69-71E07329CDBA}">
      <text>
        <r>
          <rPr>
            <b/>
            <sz val="9"/>
            <color indexed="81"/>
            <rFont val="Tahoma"/>
            <family val="2"/>
          </rPr>
          <t>Janis Corona:</t>
        </r>
        <r>
          <rPr>
            <sz val="9"/>
            <color indexed="81"/>
            <rFont val="Tahoma"/>
            <family val="2"/>
          </rPr>
          <t xml:space="preserve">
https://www.timeanddate.com/weather/usa/corona/historic
</t>
        </r>
      </text>
    </comment>
    <comment ref="A770054" authorId="0" shapeId="0" xr:uid="{6064043A-3DF1-4103-959C-FCAE7F0BECE9}">
      <text>
        <r>
          <rPr>
            <b/>
            <sz val="9"/>
            <color indexed="81"/>
            <rFont val="Tahoma"/>
            <family val="2"/>
          </rPr>
          <t>Janis Corona:</t>
        </r>
        <r>
          <rPr>
            <sz val="9"/>
            <color indexed="81"/>
            <rFont val="Tahoma"/>
            <family val="2"/>
          </rPr>
          <t xml:space="preserve">
https://www.timeanddate.com/weather/usa/corona/historic
</t>
        </r>
      </text>
    </comment>
    <comment ref="A786438" authorId="0" shapeId="0" xr:uid="{3BD4729B-1037-4613-A171-0C5E139C1434}">
      <text>
        <r>
          <rPr>
            <b/>
            <sz val="9"/>
            <color indexed="81"/>
            <rFont val="Tahoma"/>
            <family val="2"/>
          </rPr>
          <t>Janis Corona:</t>
        </r>
        <r>
          <rPr>
            <sz val="9"/>
            <color indexed="81"/>
            <rFont val="Tahoma"/>
            <family val="2"/>
          </rPr>
          <t xml:space="preserve">
https://www.timeanddate.com/weather/usa/corona/historic
</t>
        </r>
      </text>
    </comment>
    <comment ref="A802822" authorId="0" shapeId="0" xr:uid="{07385731-3ACB-4F7B-BCFA-DF2958A1D5E5}">
      <text>
        <r>
          <rPr>
            <b/>
            <sz val="9"/>
            <color indexed="81"/>
            <rFont val="Tahoma"/>
            <family val="2"/>
          </rPr>
          <t>Janis Corona:</t>
        </r>
        <r>
          <rPr>
            <sz val="9"/>
            <color indexed="81"/>
            <rFont val="Tahoma"/>
            <family val="2"/>
          </rPr>
          <t xml:space="preserve">
https://www.timeanddate.com/weather/usa/corona/historic
</t>
        </r>
      </text>
    </comment>
    <comment ref="A819206" authorId="0" shapeId="0" xr:uid="{C57D67EB-42A1-408B-A8A4-BC3295FF2AE8}">
      <text>
        <r>
          <rPr>
            <b/>
            <sz val="9"/>
            <color indexed="81"/>
            <rFont val="Tahoma"/>
            <family val="2"/>
          </rPr>
          <t>Janis Corona:</t>
        </r>
        <r>
          <rPr>
            <sz val="9"/>
            <color indexed="81"/>
            <rFont val="Tahoma"/>
            <family val="2"/>
          </rPr>
          <t xml:space="preserve">
https://www.timeanddate.com/weather/usa/corona/historic
</t>
        </r>
      </text>
    </comment>
    <comment ref="A835590" authorId="0" shapeId="0" xr:uid="{92661CF2-1D6D-49CE-9587-DE089E716937}">
      <text>
        <r>
          <rPr>
            <b/>
            <sz val="9"/>
            <color indexed="81"/>
            <rFont val="Tahoma"/>
            <family val="2"/>
          </rPr>
          <t>Janis Corona:</t>
        </r>
        <r>
          <rPr>
            <sz val="9"/>
            <color indexed="81"/>
            <rFont val="Tahoma"/>
            <family val="2"/>
          </rPr>
          <t xml:space="preserve">
https://www.timeanddate.com/weather/usa/corona/historic
</t>
        </r>
      </text>
    </comment>
    <comment ref="A851974" authorId="0" shapeId="0" xr:uid="{E1ECD962-0E34-4AA2-A56E-2060752FB74F}">
      <text>
        <r>
          <rPr>
            <b/>
            <sz val="9"/>
            <color indexed="81"/>
            <rFont val="Tahoma"/>
            <family val="2"/>
          </rPr>
          <t>Janis Corona:</t>
        </r>
        <r>
          <rPr>
            <sz val="9"/>
            <color indexed="81"/>
            <rFont val="Tahoma"/>
            <family val="2"/>
          </rPr>
          <t xml:space="preserve">
https://www.timeanddate.com/weather/usa/corona/historic
</t>
        </r>
      </text>
    </comment>
    <comment ref="A868358" authorId="0" shapeId="0" xr:uid="{7032219C-55E6-488D-882F-8824EFE38403}">
      <text>
        <r>
          <rPr>
            <b/>
            <sz val="9"/>
            <color indexed="81"/>
            <rFont val="Tahoma"/>
            <family val="2"/>
          </rPr>
          <t>Janis Corona:</t>
        </r>
        <r>
          <rPr>
            <sz val="9"/>
            <color indexed="81"/>
            <rFont val="Tahoma"/>
            <family val="2"/>
          </rPr>
          <t xml:space="preserve">
https://www.timeanddate.com/weather/usa/corona/historic
</t>
        </r>
      </text>
    </comment>
    <comment ref="A884742" authorId="0" shapeId="0" xr:uid="{38B2DFE2-7AE0-4D7D-A462-F91CADD2B0A3}">
      <text>
        <r>
          <rPr>
            <b/>
            <sz val="9"/>
            <color indexed="81"/>
            <rFont val="Tahoma"/>
            <family val="2"/>
          </rPr>
          <t>Janis Corona:</t>
        </r>
        <r>
          <rPr>
            <sz val="9"/>
            <color indexed="81"/>
            <rFont val="Tahoma"/>
            <family val="2"/>
          </rPr>
          <t xml:space="preserve">
https://www.timeanddate.com/weather/usa/corona/historic
</t>
        </r>
      </text>
    </comment>
    <comment ref="A901126" authorId="0" shapeId="0" xr:uid="{613F64A1-31D0-4EAD-84FB-4495FB97AA40}">
      <text>
        <r>
          <rPr>
            <b/>
            <sz val="9"/>
            <color indexed="81"/>
            <rFont val="Tahoma"/>
            <family val="2"/>
          </rPr>
          <t>Janis Corona:</t>
        </r>
        <r>
          <rPr>
            <sz val="9"/>
            <color indexed="81"/>
            <rFont val="Tahoma"/>
            <family val="2"/>
          </rPr>
          <t xml:space="preserve">
https://www.timeanddate.com/weather/usa/corona/historic
</t>
        </r>
      </text>
    </comment>
    <comment ref="A917510" authorId="0" shapeId="0" xr:uid="{A3DAC8D0-DFBB-4EB8-921D-AA00FBF268A0}">
      <text>
        <r>
          <rPr>
            <b/>
            <sz val="9"/>
            <color indexed="81"/>
            <rFont val="Tahoma"/>
            <family val="2"/>
          </rPr>
          <t>Janis Corona:</t>
        </r>
        <r>
          <rPr>
            <sz val="9"/>
            <color indexed="81"/>
            <rFont val="Tahoma"/>
            <family val="2"/>
          </rPr>
          <t xml:space="preserve">
https://www.timeanddate.com/weather/usa/corona/historic
</t>
        </r>
      </text>
    </comment>
    <comment ref="A933894" authorId="0" shapeId="0" xr:uid="{31DEF9CD-77A1-4B72-B98A-511E31F50B0E}">
      <text>
        <r>
          <rPr>
            <b/>
            <sz val="9"/>
            <color indexed="81"/>
            <rFont val="Tahoma"/>
            <family val="2"/>
          </rPr>
          <t>Janis Corona:</t>
        </r>
        <r>
          <rPr>
            <sz val="9"/>
            <color indexed="81"/>
            <rFont val="Tahoma"/>
            <family val="2"/>
          </rPr>
          <t xml:space="preserve">
https://www.timeanddate.com/weather/usa/corona/historic
</t>
        </r>
      </text>
    </comment>
    <comment ref="A950278" authorId="0" shapeId="0" xr:uid="{17756A7E-A8C6-4A58-B987-AB78F8C04FDD}">
      <text>
        <r>
          <rPr>
            <b/>
            <sz val="9"/>
            <color indexed="81"/>
            <rFont val="Tahoma"/>
            <family val="2"/>
          </rPr>
          <t>Janis Corona:</t>
        </r>
        <r>
          <rPr>
            <sz val="9"/>
            <color indexed="81"/>
            <rFont val="Tahoma"/>
            <family val="2"/>
          </rPr>
          <t xml:space="preserve">
https://www.timeanddate.com/weather/usa/corona/historic
</t>
        </r>
      </text>
    </comment>
    <comment ref="A966662" authorId="0" shapeId="0" xr:uid="{9F72BDEA-0A13-48DD-B566-58C1486F33A9}">
      <text>
        <r>
          <rPr>
            <b/>
            <sz val="9"/>
            <color indexed="81"/>
            <rFont val="Tahoma"/>
            <family val="2"/>
          </rPr>
          <t>Janis Corona:</t>
        </r>
        <r>
          <rPr>
            <sz val="9"/>
            <color indexed="81"/>
            <rFont val="Tahoma"/>
            <family val="2"/>
          </rPr>
          <t xml:space="preserve">
https://www.timeanddate.com/weather/usa/corona/historic
</t>
        </r>
      </text>
    </comment>
    <comment ref="A983046" authorId="0" shapeId="0" xr:uid="{68A6368B-561C-4C55-AC9F-E6F58B8C4E10}">
      <text>
        <r>
          <rPr>
            <b/>
            <sz val="9"/>
            <color indexed="81"/>
            <rFont val="Tahoma"/>
            <family val="2"/>
          </rPr>
          <t>Janis Corona:</t>
        </r>
        <r>
          <rPr>
            <sz val="9"/>
            <color indexed="81"/>
            <rFont val="Tahoma"/>
            <family val="2"/>
          </rPr>
          <t xml:space="preserve">
https://www.timeanddate.com/weather/usa/corona/historic
</t>
        </r>
      </text>
    </comment>
    <comment ref="A999430" authorId="0" shapeId="0" xr:uid="{5265A974-17B5-4BD7-9C4A-8536525A55B2}">
      <text>
        <r>
          <rPr>
            <b/>
            <sz val="9"/>
            <color indexed="81"/>
            <rFont val="Tahoma"/>
            <family val="2"/>
          </rPr>
          <t>Janis Corona:</t>
        </r>
        <r>
          <rPr>
            <sz val="9"/>
            <color indexed="81"/>
            <rFont val="Tahoma"/>
            <family val="2"/>
          </rPr>
          <t xml:space="preserve">
https://www.timeanddate.com/weather/usa/corona/historic
</t>
        </r>
      </text>
    </comment>
    <comment ref="A1015814" authorId="0" shapeId="0" xr:uid="{543261D1-FCD6-4B23-AE98-906BBF8F1400}">
      <text>
        <r>
          <rPr>
            <b/>
            <sz val="9"/>
            <color indexed="81"/>
            <rFont val="Tahoma"/>
            <family val="2"/>
          </rPr>
          <t>Janis Corona:</t>
        </r>
        <r>
          <rPr>
            <sz val="9"/>
            <color indexed="81"/>
            <rFont val="Tahoma"/>
            <family val="2"/>
          </rPr>
          <t xml:space="preserve">
https://www.timeanddate.com/weather/usa/corona/historic
</t>
        </r>
      </text>
    </comment>
    <comment ref="A1032198" authorId="0" shapeId="0" xr:uid="{49B0DDF1-422C-4E93-935C-C75D4D6BE43C}">
      <text>
        <r>
          <rPr>
            <b/>
            <sz val="9"/>
            <color indexed="81"/>
            <rFont val="Tahoma"/>
            <family val="2"/>
          </rPr>
          <t>Janis Corona:</t>
        </r>
        <r>
          <rPr>
            <sz val="9"/>
            <color indexed="81"/>
            <rFont val="Tahoma"/>
            <family val="2"/>
          </rPr>
          <t xml:space="preserve">
https://www.timeanddate.com/weather/usa/corona/historic
</t>
        </r>
      </text>
    </comment>
  </commentList>
</comments>
</file>

<file path=xl/sharedStrings.xml><?xml version="1.0" encoding="utf-8"?>
<sst xmlns="http://schemas.openxmlformats.org/spreadsheetml/2006/main" count="3929" uniqueCount="322">
  <si>
    <t>weekDay Date</t>
  </si>
  <si>
    <t>Date</t>
  </si>
  <si>
    <t>time</t>
  </si>
  <si>
    <t>weightScaleMeasurement</t>
  </si>
  <si>
    <t>waistlineMeasurement-BellyButton</t>
  </si>
  <si>
    <t>armMeasurementInches-R</t>
  </si>
  <si>
    <t>armMeasurementInches-L</t>
  </si>
  <si>
    <t>thighMeasurementInches-R</t>
  </si>
  <si>
    <t>thighMeasurementInches-L</t>
  </si>
  <si>
    <t>absFat-MM-R</t>
  </si>
  <si>
    <t>absFat-MM-L</t>
  </si>
  <si>
    <t>tricepsFat-MM-R</t>
  </si>
  <si>
    <t>tricepsFat-MM-L</t>
  </si>
  <si>
    <t>innerThighFat-MM-R</t>
  </si>
  <si>
    <t>innerThighFat-MM-L</t>
  </si>
  <si>
    <t>Mon</t>
  </si>
  <si>
    <t>Tue</t>
  </si>
  <si>
    <t>Wed</t>
  </si>
  <si>
    <t>Thur</t>
  </si>
  <si>
    <t>Sat</t>
  </si>
  <si>
    <t>NA</t>
  </si>
  <si>
    <t>exercisesSetRepsLbs</t>
  </si>
  <si>
    <t>timeMeasurementsTaken</t>
  </si>
  <si>
    <t>Sun</t>
  </si>
  <si>
    <t>waistTrimmer</t>
  </si>
  <si>
    <t>weatherAtWorkoutTime</t>
  </si>
  <si>
    <t>fat_gram</t>
  </si>
  <si>
    <t>saturatedFat_gram</t>
  </si>
  <si>
    <t>protein_gram</t>
  </si>
  <si>
    <t>fiber_grams</t>
  </si>
  <si>
    <t>dailyCalories</t>
  </si>
  <si>
    <t>notes_diet_mood_etc</t>
  </si>
  <si>
    <t>sodium</t>
  </si>
  <si>
    <t>calories</t>
  </si>
  <si>
    <t>Nutrition</t>
  </si>
  <si>
    <t>Dill_Bread_2slices</t>
  </si>
  <si>
    <t>eggs_2</t>
  </si>
  <si>
    <t>grapefruit</t>
  </si>
  <si>
    <t>tomato_soup_1cup</t>
  </si>
  <si>
    <t>orange</t>
  </si>
  <si>
    <t>green_beans_canned</t>
  </si>
  <si>
    <t>Wheat_Bread_allGrain_2slices</t>
  </si>
  <si>
    <t>Avocado_half</t>
  </si>
  <si>
    <t>corn_tortilla_3tortillas_Mission</t>
  </si>
  <si>
    <t>gingerCarrotCashew_soup_Pacific</t>
  </si>
  <si>
    <t>corn_tortilla_2tortillas_Mission</t>
  </si>
  <si>
    <t>Mozzarella_lowSkim_WincoBrand_quarterCup</t>
  </si>
  <si>
    <t>coffee_cups</t>
  </si>
  <si>
    <t>Ramen_cupNoodles_Shrimp_Maruchan</t>
  </si>
  <si>
    <t>blackberries_1cup</t>
  </si>
  <si>
    <t>blueberries_1cup</t>
  </si>
  <si>
    <t>roastedRedPepperTomatoSoup_Pacific_1cup</t>
  </si>
  <si>
    <t>Avocado_whole</t>
  </si>
  <si>
    <t>greenGrapes_40</t>
  </si>
  <si>
    <t>strawberries_halfCup</t>
  </si>
  <si>
    <t>almond_mild_quarter_cup</t>
  </si>
  <si>
    <t>Wheat_Bread_allGrain_1andHalfSlices</t>
  </si>
  <si>
    <t>Wheat_Bread_allGrain_1Slice</t>
  </si>
  <si>
    <t>pear</t>
  </si>
  <si>
    <t>pickle_4slices</t>
  </si>
  <si>
    <t>cheese_American_slice1</t>
  </si>
  <si>
    <t>oatsAndHoney_mix_CascadianFarms2_3rdcup</t>
  </si>
  <si>
    <t>pineapple_1cup</t>
  </si>
  <si>
    <t>ruffles_zestyCheddar_28gserving</t>
  </si>
  <si>
    <t>spaghettiGlutenFreeBeyondBroccoliRedPepperPriano4cheese</t>
  </si>
  <si>
    <t>barillaGlutenFreeSpaghetti_2oz</t>
  </si>
  <si>
    <t>broccoli_2crowns</t>
  </si>
  <si>
    <t>red_bell_pepper</t>
  </si>
  <si>
    <t>banana_organic</t>
  </si>
  <si>
    <t>edemamePastaBeyondMeatBalls</t>
  </si>
  <si>
    <t>edemamePasta</t>
  </si>
  <si>
    <t>soyMeatballsFrozenDeli</t>
  </si>
  <si>
    <t>DelMonte4cheesePastaSauce</t>
  </si>
  <si>
    <t xml:space="preserve">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t>
  </si>
  <si>
    <t>red grapes serving 1 cup</t>
  </si>
  <si>
    <t>Priano 4 Cheese Pasta Sauce</t>
  </si>
  <si>
    <t>Extra Virgin Olive Oil Aldi brand 1 tbsp</t>
  </si>
  <si>
    <t>Progresso Garden Vegetable Soup</t>
  </si>
  <si>
    <t>mango</t>
  </si>
  <si>
    <t>Mission Tortilla Chips 10 chips</t>
  </si>
  <si>
    <t>jack cheese Winco brand 2 servings 2/3 cup</t>
  </si>
  <si>
    <t xml:space="preserve">Lentil Soup Simply Pure brand organic </t>
  </si>
  <si>
    <t>Chex cereal Winco General Mills 1 1/4 cup serving</t>
  </si>
  <si>
    <t>compressionSocks</t>
  </si>
  <si>
    <t xml:space="preserve">1 egg over medium the regular way 
1 corn tortilla quesadilla with mozzarella 
15 green grapes 
1 lg danjou pear 
15 red grapes 
1 mango sliced 
1 orange 
2 cups of the tomato soup with roasted red pepper from Pacific brand of soups 
2 mozzarella quesadillas normal style 
bowl of lentil soup by Progresso 
bowl of gluten free spaghetti by Barilla and 4 cheese pasta sauce by Priano with 
2 tbls parmesan Winco brand cheese and about 
1/4 cup Mozzarella cheese also Winco brand
1 orange </t>
  </si>
  <si>
    <t xml:space="preserve">bowl of gluten free spaghetti 
2 tbls parmesan  
1/4 cup Jack cheese 
25-30 green grapes 
1 lg danjou pear 
1 mango 
1 orange 
2 cups of chex cereal 
bowl of the gluten free spaghetti
2 tbls parmesan 
1/4 cup jack cheese 
1 orange 
1 pear </t>
  </si>
  <si>
    <t>Menstruation</t>
  </si>
  <si>
    <t>dailyFoodConsumed</t>
  </si>
  <si>
    <t>minutesOfCardioKickBoxing</t>
  </si>
  <si>
    <t>carbs_grams</t>
  </si>
  <si>
    <t>fiber_grams_from_carbs</t>
  </si>
  <si>
    <t>corn tortillas Guerrero Brand-2 tortillas</t>
  </si>
  <si>
    <t>weight_lifting_increase</t>
  </si>
  <si>
    <t>weight_lifting_decrease</t>
  </si>
  <si>
    <t>calories_consumed_dayPrior</t>
  </si>
  <si>
    <t>weightChangeFromDayPrior</t>
  </si>
  <si>
    <t>Woke up at 3:45 am and laid in bed till 4 am couldn't go back to sleep. Noticed mensa spotting and it is about time to start my monthly cycle of uterine lining shedding. Had a cup of coffee then a lg BM. Then had another cup of coffee for the 2nd cup of coffee before and while doing the lipocavitation around 510 am and the measurements. Made 2 eggs over medium the regular way with a quesadilla mozzarella (tortillas serving size 2 corn tortillas: calories 100, fat 1 g includes polyunsaturated fat 0.5 g, sodium 20 mg, carbs 21 g includes fiber 2 g and sugars 2 g, protein 2 g, calcium 20 mg, potassium 80 mg) with low skim mozzarella cheese (serving 1/4 cup: calories 80, fat 5 g includes saturated fat 3.5 g, cholesterol 15 mg, sodium 190 mg, carbs 1 g not fiber not sugar, protein 6 g, calcium 193 mg) one but only ate one egg (calories 70, total fat 5 g of which saturated fat is 1.5 g, cholesterol is 185 mg, sodium is 70 mg, protein 6 g, no carbs, vitamin D 1 mcg, iron1 mg, calcium 28 mg, potassium 69 mg) and gave the other to the pups. Packed about 15 green grapes (serving sz 10 grapes: calories 12.75, sodium 2 mg, carbs 13.5 includes fiber 0 and sugars 3 g, protein 0 g, vit A 1.5%, vit C 3%, iron 1.5%), and a lg danjou pear (calories 57, potassium 116 mg, sodium 1 mg, carbs 15 g of fiber 3 g and sugars 10 g, vit A 0.5%, vit C 7%, iron 1%, protein 0.36%) and 15 red grapes (calories 105, fat 0, saturated fat 0, sodium 3 mg, carbs 27 g includes fiber 1 g and sugars 23 g, protein 1 g, vit A 2%, vit C 27%, calcium 2%, iron 3%) for lunch with a mango sliced (calories 107, sodium 3 mg, carbs 28 g includes fiber 3 g and sugars 24 g, protein 1 g, vit A 25%, vit C 76%, calcium 2%, iron 1%), and an orange (calories 81, sodium 2 mg, carbs 21 g including fiber 4 g and sugars 14 g, protein 2 g, vit A 8%, vit C 163%, calcium 7%, iron 1%), and two cups of the tomato soup with roasted red pepper from Pacific brand of soups (serving size 1 cup, 2 cups: calories 240, fat 6 g includes saturated fat 4 g, cholesterol 20 mg, sodium 660 mg, carbs 38 g includes fiber 4 g and sugars 28 g, protein 12 g, calcium 144 mg, potassium 514 mg, iron 1 mg). Have a workout later today the last one of this research as tomorrow is day 21 and this research is for 21 days. Raining at work, wet outside and raining on the way back home and outside. Stopped raining when I got home around 2:30 pm. Had 2 mozzarella quesadillas normal style (tortillas serving size 2 corn tortillas, for 4 tortillas: calories 200, fat 2 g includes polyunsaturated fat 1 g, sodium 40 mg, carbs 42 g includes fiber 4 g and sugars 4 g, protein 4 g, calcium 40 mg, potassium 160 mg) with low skim mozzarella cheese (serving 1/4 cup for 2 servings: calories 160, fat 10 g includes saturated fat 7 g, cholesterol 30 mg, sodium 380 mg, carbs 2 g not fiber not sugar, protein 12 g, calcium 386 mg) and then worked out around 4 pm. It stopped raining for a little while up till the last group of exercises. Had a bowl of lentil soup by Progresso (1 can: calories 310, fat 3.5 g includes saturated fat 0.5 g, sodium 1630 mg, carbs 52 g includes fiber 8 g and sugars 4 g, protein 16 g, calcium 40 mg, iron 4.4 mg, potassium 590 mg) at around 6 pm after my workout, then made some gluten free spaghetti by Barilla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Had a bowl of that pasta with 2 tbls parmesan Winco brand cheese (serving 2 tbsp: calories 20, fat 1.5 g includes saturated fat 1 g, cholesterol 5 mg, sodium 100 mg, protein 2 g, carbs 0 g includes fiber and sugars 0 g each) and about 1/4 cup Mozzarella cheese (serving 1/4 cup: calories 80, fat 5 g includes saturated fat 3.5 g, cholesterol 15 mg, sodium 190 mg, carbs 1 g not fiber not sugar, protein 6 g, calcium 193 mg)  around 635 pm, and an orange (calories 81, sodium 2 mg, carbs 21 g including fiber 4 g and sugars 14 g, protein 2 g, vit A 8 %, vit C 163 %, calcium 7 %, iron 1 %) around 7 pm. Wore compression socks again today. Went to bed around 9 pm, woke up at 10 pm for a bit then on and off at 3 am, 430 am, and didn't sleep just laid in bed till 615 am. I probably got about 7 hours of sleep total. Day 1 of mensa shedding medium flow changed once during night.</t>
  </si>
  <si>
    <t>Woke up at 5:30 am but laid in bed till 615 am. Had a cup of coffee then a lg BM. Then another cup of coffee. Ankles aren't swollen, bruises on thighs are very light and not very noticeable. Compression socks help, and will wear again today. This is last day of 21 days of research into the 5xwk exercise, dieting, and 3xwk lipocavitation. This is the rest day, so measurements will be taken but the results will be analyzed tomorrow after 21 days are completed with images and measurements. For breakfast around 7:20 am I had a bowl of gluten free spaghetti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with parmesan  (serving 2 tbsp: calories 20, fat 1.5 g includes saturated fat 1 g, cholesterol 5 mg, sodium 100 mg, protein 2 g, carbs 0 g includes fiber and sugars 0 g each) and Jack cheese (calories 200, fat 9 g includes saturated fat 9 g, protein 12 g, 0 fiber, and sodium 340 mg). At work for lunch I had about 25-30 green grapes (serving sz 10 grape for 30 grapes: calories 38.25, sodium 6 mg, carbs 40.5 includes fiber 0 and sugars 9 g, protein 0 g, vit A 4.5%, vit C 9%, iron 4.5%), and a lg danjou pear (calories 57, potassium 116 mg, sodium 1 mg, carbs 15 g of fiber 3 g and sugars 10 g, vit A 0.5%, vit C 7%, iron 1%, protein 0.36%) , a mango (calories 107, sodium 3 mg, carbs 28 g includes fiber 3 g and sugars 24 g, protein 1 g, vit A 25%, vit C 76%, calcium 2%, iron 1%), and an orange (calories 81, sodium 2 mg, carbs 21 g including fiber 4 g and sugars 14 g, protein 2 g, vit A 8%, vit C 163%, calcium 7%, iron 1%), and about 2 cups of chex cereal (calories 240, fat 1.6 g includes saturated fat 0 g, protein 4.8 g, carbs 33 g includes fiber 3.2 g, and sodium 448 mg) as a snack. Not raining today but wet out and cloudy. I got a raise $2 per service hour unexpectedly and very thankful for. I went to Winco after work to get more oranges, grapefruits, red, orange, green bell peppers, danjou sm pears, gluten free spaghetti and red lentil penne pasta, and beyond meat is there cheaper at $8/pkg, and paper towels , toilet paper, wet cat food, and low skim Winco mozzarella cheese and avocados, and soup. Cannot find the ginger cashew carrot soup any more, it is either getting swiped up first or not being restocked even though the label is there. When I got home I started the laundry and changed the linens on bed and I ate a bowl of the spaghetti with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parmesan  (serving 2 tbsp: calories 20, fat 1.5 g includes saturated fat 1 g, cholesterol 5 mg, sodium 100 mg, protein 2 g, carbs 0 g includes fiber and sugars 0 g each) and jack cheese (calories 200, fat 9 g includes saturated fat 9 g, protein 12 g, 0 fiber, and sodium 340 mg) around 5 pm and an orange (calories 81, sodium 2 mg, carbs 21 g including fiber 4 g and sugars 14 g, protein 2 g, vit A 8%, vit C 163%, calcium 7%, iron 1%) around 6 pm. A pear (calories 57, potassium 116 mg, sodium 1 mg, carbs 15 g of fiber 3 g and sugars 10 g, vit A 0.5%, vit C 7%, iron 1%, protein 0.36%) around 6:30 pm. Mensa was 2nd day and med-heavy. Cramping around 9 pm slightly before. Maybe not enough water, feel it in lower back and abs. Went to bed at 9 pm but a call woke me at 10 that I didn't answer. And slept on and off getting up to pee and change pad for mensa and sleep through cramps that got better. Next day woke up at 6 am.</t>
  </si>
  <si>
    <t>pectoralis major/deltoid - 10 lb</t>
  </si>
  <si>
    <t>weightLiftingIncrease_lbs</t>
  </si>
  <si>
    <t>weightLiftingDecrease_lbs</t>
  </si>
  <si>
    <t>glutenFree</t>
  </si>
  <si>
    <t>alcoholFree</t>
  </si>
  <si>
    <t>processedSweetsFree</t>
  </si>
  <si>
    <t>butterAddedFree</t>
  </si>
  <si>
    <t>meatFree</t>
  </si>
  <si>
    <t>HoursOfSleepLastNight</t>
  </si>
  <si>
    <t>Andes Chocolate mint pieces, serving sz 8 pcs</t>
  </si>
  <si>
    <t xml:space="preserve">bowl plain gluten free spaghetti with 
parmesan and 
Jack cheese 
1 orange
3 Andes chocolate mint candies.
2 corn quesadillas (Guerrero brand) with 
Jack cheese and paprika and 
1 small avocado
3 more Andes mints 
1 cup of noodles the shrimp flavor with meat and veggies emptied
8 more Andes mints
</t>
  </si>
  <si>
    <t>crunchy corn tacos Aldis, serving is 3,</t>
  </si>
  <si>
    <t>2 crunchy corn tacos Aldis</t>
  </si>
  <si>
    <t>Red Lentil Penne Pasta Barilla brand gluten free-serving 2oz, this is 3.5 oz</t>
  </si>
  <si>
    <t>organic creamy butternut squash soup Pacific brand-1 cup serving</t>
  </si>
  <si>
    <t>Woke up at 6:00 AM, had a cup of coffee, a BM, another cup of coffee. Didn’t' eat breakfast immedately and had another small BM and another one an hour later. Prepared data of this research since 6:00 AM until 9:25 am, had breakfast, pasta last bowl plain gluten free spaghetti (calories, fat,sat.fat, protein,carbs,fiber,sodium; 4 cheese Priano brand: 90,3.5,1,3,12,3,460, pasta noodles: 200,1,0,4,44,1,0) with parmesan and Jack cheese (20,1.5,1,2,0,0,100 parmesan and jack: 200,9,9,12,1,0,340) about 930 AM followed by an orange (81,0,0,2,21,4,2). Shower, because on my mensa 3rd day med, was med-heavy last night. Still have menstrual cramps but feeling them in my low back. Measurements with video documentation taken after shower. Around 11 am had 3 Andes chocolate mint candies (serving 8 pcs, for 3: 75,5,4.5,0.75,8.25,0.75, 7.5). After trying to enroll in some prerequisite DO courses at Fullerton/Cypress College, and finding I could remember my RCC student ID for unofficial transcript. Everything is waitlisted or closed. They start today, a couple courses tomorrow. Need the chem/biol/anatomy/microbiology prerequisites and to speak with a counselor, but offices closed in person. Around 1130 AM had 2 corn quesadillas (Guerrero brand) (100,1,0,2,21,2,20) with Jack cheese (200,9,9,12,1,0,340) and paprika and 1 small avocado (322,29,4,4,17,18,14). had 3 more Andes mints (serving 8 pcs, for 3: 75,5,4.5,0.75,8.25,0.75, 7.5) at 145 pm after my shower and before taking the resulting measurements with video documentation. At just before 3 pm had a cup of noodles (290,12,6,7,39,3,1150) voiding the gluten free diet, the shrimp flavor with meat and veggies emptied. Then about 315 pm had a full serving or 8 pcs of Andes mints (200,13,12,2,22,2,20). at about 630 pm had 2 crunchy tacos (105.6, 4.62, 1.32, 1.32, 13.86, 1.32, 0) with 1 small avocado (322, 29, 4, 4, 17, 18, 14), paprika, and Jack cheese (200, 9, 9, 12, 1, 0, 340). A grapefruit (92, 0, 0, 2, 24, 2, 0) around 7 pm. Around 730 PM had 7 pcs of Andes chocolate mints (175, 11.4, 10.5, 1.75, 19.25, 1.75, 17.5). Went to bed around 930 pm.</t>
  </si>
  <si>
    <t>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upper abs 10 reps each side in 3 sets using rope extension curling down fwd at hips</t>
  </si>
  <si>
    <t>Parmesan Cheese 2 tbsp Winco brand</t>
  </si>
  <si>
    <t>green bell pepper</t>
  </si>
  <si>
    <t xml:space="preserve">Woke up at 6 am and slept most of the night sound asleep, had a couple of cups of coffee while making a red lentil penne pasta with beyond meat an orange bell pepper and a green bell pepper and a couple broccoli crowns with Del Monte brand 4 cheese pasta sauce. I drained the sauce after cooking it with the meat and veggies to use as a cup of soup later with avocado and 2 corn tortilla quesadillas. Cold outside in high 30 degrees. Had a sm BM after doing the dishes and putting away the food for later, but didn't eat breakfast yet by 8 am. Still shedding on Mensa day 4 but lighter or lightly. Around 815 am ate 2 corn tortilla jack cheese and paprika quesadillas with 1 cup Del Monte 4 cheese sauce as soup with 1/2 avocado. Put together an Rpubs Rmarkdown of the Research 2 on 21 days dieting/exercise/lipocavitation/waisttrimmer with basic linear modeling until readying workout, ate lunch a bowl of the penne pasta with other half of avocado and parmesan cheese, and an orange around 115 pm. Worked out at 2 pm until about 420 pm, no documentation with video. This is continuing research 2 but as a separate research omitting lipocavitation. Ate another bowl of pasta with jack cheese and parmesan cheese at about 5 pm then a grapefruit around 530 Pm and a pear at 6 pm. At about 6:40 pm had a couple of eggs boiled with salt and pepper and paprika. Bed time around 9 pm after watching Selena and Chef. Phone texting new client for couples around 9:45 pm, went to bed at 10 pm. </t>
  </si>
  <si>
    <t>UL_2knucklesBelowBellyButton</t>
  </si>
  <si>
    <t>BM</t>
  </si>
  <si>
    <t>Merlot Wine 5oz serving is about 61.5% of a cup</t>
  </si>
  <si>
    <t xml:space="preserve">(calories	fat_gram	saturatedFat_gram	protein_gram	carbs_grams	fiber_grams	sodium)
2 corn tortilla 
(tortillas 4:    200	2	0	4	42	4	40)
quesadillas with 1/2 cup Jack Cheese 
(150	6.75	6.75	9	0.75	0	255)
1 cup Del Monte 4 cheese pasta sauce from beyond meat brocc/redgreenpeppers drained earlier 
(Del Monte sauce: 60	1	0	2	12	2	420)
1/2 avocado in soup above 
(avocado 1/2: 161	14.5	2	2	8.5	6.5	7)
bowl of penne pasta with other 
(penne: 330	2.5	0.5	23	61	11	0)
(beyond:260	18	5	20	5	2	350)
(broccoli: 31	0.34	0.04	3	6	2	30.03)
(red bell pepper: 37	0	0	1	7	2	5)
(green bell pepper:40	0	0	1	10	3	0)
1/2 avocado 
(avocado 1/2: 161	14.5	2	2	8.5	6.5	7) and 
2 tbsp parmesan cheese ( 20	1.5	1	2	0	0	100) and 
1 orange (81	0	0	2	21	4	2)
bowl of penne pasta
(penne: 330	2.5	0.5	23	61	11	0)
(beyond:260	18	5	20	5	2	350)
(broccoli: 31	0.34	0.04	3	6	2	30.03)
(red bell pepper: 37	0	0	1	7	2	5)
(green bell pepper:40	0	0	1	10	3	0)
with 
parmesan cheese ( 20	1.5	1	2	0	0	100)
jack cheese 1/3 cup (100	4.5	4.5	6	0.5	0	170)
grapefruit (92	0	0	2	24	2	0)
pear  (57	0	0	0	15	3	1)
2 eggs boiled (140	10	3	12	0	0	140)
</t>
  </si>
  <si>
    <t>applesauce Aldis brand 1/2 cup serving</t>
  </si>
  <si>
    <t>applesauce Aldis brand 1  cup serving</t>
  </si>
  <si>
    <t>Merlot Wine bottle 750 mL 25 oz</t>
  </si>
  <si>
    <t>DaySinceMenstruationStarted</t>
  </si>
  <si>
    <t>cardioRounds</t>
  </si>
  <si>
    <t>cardioMinutesPerRound</t>
  </si>
  <si>
    <t xml:space="preserve">woke up at 5 am because alarm was still set for lipocavitation but not doing that now. Had a cup of coffee got ready for Norco college couple courses psychology 1 and Biology 18 genetics human, as prerequs for MSPA program at Western University and paid on credit card. Had another cup of coffee and a lg BM bw 1st and 2nd cup of coffee. then ate breakfast around 710 am.  Breakfast was a bowl of the penne pasta with beyond meat and brocc/peppers with parmesan cheese. At work had a slow day and no appointments until 12:15 pm. I had about 40 red grapes and a pear for a morning snack waiting around 10 am and then for lunch around 11 am I had 1 1/2 cups of roasted red pepper soup with 2 corn tortilla quesadillas with 1/2 cup Mozzarella cheese low skim, an orange, and an avocado with the soup and quesadillas. Went home after 2 1/2 hours of massages from new people, one scheduled and a late add with a history of a different person only at our location every visit, had COVID 5 wks ago and numerous health problems and antivaxer didn't want the wear mask over nose but had to bc of regulations to operate. Nice lady but odd having as a walk in for last appointment, tipped well though. Got home after going to Aldi's decided I want some wine and bought some as well as more of the same cruncy tacos, a block of their Jack cheese, 2 applesauce jars one cinnamon and one original to curve my sweet tooth cravings. Started a new measurement today of two knuckles below belly button BB to keep track of the fibroid hormonal related to size and bloat. It is the fifth or 5th day of shedding the uterine lining, spotty and almost done. This is when the uterus is free of the need to use estrogen receptor and progesterone receptor sites to bind and bloat belly. Still haven't posted the blog, but did the ML with linear regression and found the number of lipocavitation cumulative sessions does affect the waistline measurement that day and that the number of minutes of cardio the day before affect the weight scale measurements. Other ML measures and significant findings were produced, but want more relationships. Drank a glass of wine after taking measurements and half way through had a small BM. Had a bowl of pasta a half hour later, and a 1/2 cup of wine. then some potato chips and sour cream. Later some applesauce that got everywhere opening it due to a faulty cap. Finished the bottle of wine. Before the last cup and a half of wine had another sm BM. Then later around 830 PM had 2 corn tortilla quesadillas with low skim milk Mozzarella cheese and paprika with 1 cup of roasted red pepper tomato soup. Went to bed around 9:30 pm after a cup of the teavana beach bellini tea with tropical fruit flavors from Marshall's. </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</si>
  <si>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40 red grapes approx 2 cups
(208	0	0	2	54	2	6)
pear (57   0    0   0    15    3   1)
2 corn tortilla quesadillas 
4 tortillas Guerrero brand ((200 	2	0	4	42	4	40))
1/2 cup Mozzarella low skim cheese (160	   10	 7	12     	2    0	    380)
1 1/2 cups roasted red pepper soup Pacific brand 
(180	4.5	3	9	28.5	3	495)
1 avocado (322	29	4	4	17	18	14)
1 orange (81	0	0	2	21	4	2)
1 cup of Blackstone Merlot Aldi's purchase approximately 3/5 a cup is one serving or 62.5% of a cup (5/3) X 1 serving is:
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1 serving 1/2 cup Merlot Blackstone brand wine
handful or about 15 potato chips Dip Chips
(150 10 1.5 1 15 1 140)
2 tbsp sourcream Winco brand
(60	5	3.5	1	2	0	15)
applesauce Aldis original 1/2 cup serving but 1 cup
(200 0   0   0   50   4   0)
finished the last glass of wine, the bottle was 750 mL and that is approx 25 oz.
1 serving is 5 oz, that is 5 servings
(615	0	0	0	20	0	30)
2 corn tortilla Mozzarella quesadillas with paprika
4 corn tortillas: (200	2	0	4	42	4	40)
1/2 cup mozzarella cheese: (160	10	7	12	2	0	380)
1 cup roasted red pepper tomato soup: 
(120	3	2	6	19	2	330) 
</t>
  </si>
  <si>
    <t>tricep extension above head dumbells 25 lbs 3 sets 10-12 reps
hamstrings leg flexion laying prone 3 sets 10-12 reps 40 lbs	+5
calves 3 sets 12 reps 50 lbs total with dumbells
military press 3 sets 30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+10
standing abducturs 3 sets 10-12 reps 20 lbs
bench press 3 sets 8 reps barbell 75 lbs	+10 
squats 3 sets 10 reps barbell 45 lb + 40lbs added weight
leg lifts standing for abs, 3 sets 20 reps no added weight
dead lifts 3 sets 10-12 reps dumbells 50 lbs 
tricep extension rope standing 3 sets 25 lbs
upper abs 10 reps each side in 3 sets 25 lbs using rope extension curling at hips</t>
  </si>
  <si>
    <t>biceps +10, hamstrings +5, pectoralis major +10</t>
  </si>
  <si>
    <t>Woke up at 2 am dehydrated, drank 1/2 bottle of water, laid in bed until 430 am and got up restarted the dryer and cleaned dog messes as usual. Had a cup of ice and coffee, checked my waist and 2" below fibroid, 32 1/2" and 34" respectively. Had a small BM at 510 am and measured waist and fibroid belly and got 32 1/2" and 33 1/2" respectively.And reweighed self at 140.6 the same. Around 630 AM had the last bowl of penne pasta. Tired tried for a nap afterwards. Mensa is practically gone just light spotting and yesterday was spotty, day before light, medium, medium-heavy, light, spotty day it started. So I marked it as a mensa day. But tomorrow will likely be completely gone. Took a nap for two hours at 7 am until 9 am, but got about 1-1 1/2 hours sleep, then worked out, upped the cardio to 9 five minutes rounds for 45 minutes total. Little warmer today than yesterday, sweat with sweat suit shirt on and turtleneck. Still chilly to start. After working out had 2 corn tortilla quesadillas with low skim Mozzarella cheese and paprika, 2 eggs over medium in olive oil, 1 small avocado, a third cup of coffee, and a cup of applesauce. Probably not going to take a nap today again before work. After working out and eating lunch and taking off my 31" small waist trimmer, I measured the waist and fibroid waist and got 31" and 33" respectively before taking a shower. After work around 955 PM right after taking the waist trimmer off the waist was 31 and the fibroid waist was 33 1/2" before bed at 11 pm.</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</si>
  <si>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2 corn tortilla Mozz quesadillas
4 corn tortillas: (200	 2	0	4	42	4	40)
1/2 cup Mozzarella low skim cheese: (160	10	7	12	2	0	380)
2 eggs (140	10	3	12	0	0	140)
1 small avocado: (322	29	4	4	17	18	14)
1 cup applesauce: (200	0	0	0	50	4	0)
For lunch I packed
2/3 cup oats and honey Cascade Farms 
(270	7	1	6	46	3	55)
2 1/2 cups Chex cerel (300	2	0	6	66	4	560)
1 orange (81	0	0	2	21	4	2)
1 grapefruit (92	0	0	2	24	2	0)
1 corn tortilla quesadilla with mozzarella and paprika
2 corn tortilla (100	1	0	2	21	2	20)
1/4 cup mozzarella cheese (80	5	3.5	6	1	0	190)
1 cup of roasted red pepper tomato soup 
(120	3	2	6	19	2	330)
</t>
  </si>
  <si>
    <t>spaghetti squash 1 cup cooked</t>
  </si>
  <si>
    <t>small tomatoes 1 medium tomato</t>
  </si>
  <si>
    <t>walnuts 7 whole or 1 oz</t>
  </si>
  <si>
    <t>Monterey Jack Cheese Aldis block serving 1 oz</t>
  </si>
  <si>
    <t>Fri</t>
  </si>
  <si>
    <t>quads/hips +10</t>
  </si>
  <si>
    <t>tricep extension above head dumbells 25 lbs 3 sets 10-12 reps
hamstrings leg flexion laying prone 3 sets 10-12 reps 40 lbs	
calves 3 sets 12 reps 50 lbs total with dumbells
military press 3 sets 40 lb dumbells +10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standing abducturs 3 sets 10-12 reps 20 lbs
bench press 3 sets 8 reps barbell 75 lbs	
squats 3 sets 10 reps barbell 45 lb + 50lbs added weight +10
leg lifts standing for abs, 3 sets 20 reps no added weight
dead lifts 3 sets 10-12 reps dumbells 50 lbs 
tricep extension rope standing 3 sets 25 lbs
upper abs 10 reps each side in 3 sets 25 lbs using rope extension curling at hips</t>
  </si>
  <si>
    <t>11 .25</t>
  </si>
  <si>
    <t>1 small avocado (322	29	4	4	17	18	14)
2 corn tortill mozzarella cheese quesadillas
4 corn tortillas (200	2	0	4	42	4	40)
1/2 cup mozzarella cheese (160	10	7	12	2	0	380)
1/2 bowl of the spaghetti squash with tomatoes and jack cheese and herbs
spaghetti squash (42	0.4	0	1	10	2.2	412)
jack cheese (block pieces approx 1/4 cup)
(100	8	5	7	0	0	170)
5 small organic tomatoes (22.1	0.2	0	1.1	4.8	1.5	6.2)
herbs like sage, thyme, basil, and dill all fresh
1/4 cup of walnuts (190	18	1.5	4	4	2	0)
1/2 cup of chex (150	1	0	3	33	2	280)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t>
  </si>
  <si>
    <t xml:space="preserve">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orange (81	0	0	2	21	4	2)
grapefruit (92	0	0	2	24	2	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1 serving 2 tbsp (20	1.5	1	2	0	0	100)
mango (107	0	0	1	28	3	3)
</t>
  </si>
  <si>
    <t>Woke up at 4:45 went pee, had to pee frequently between 9 pm and 11 pm from water circulating through during my workout that ended two hours before bed time. Stayed in bed till 6 am. Had a cup of coffee. Took measurements. Weight said 139.4 and set aside the digital scale after a few minutes said 141.4, I redid the measurement and it said 139.4, so I kept that measurement. I have a couples massage in Corona after work I get out at 3 pm. Belly button is starting to stick out a bit but not as much as closer to menstruation. Liquid discharge at night its been a week since uterine lining shedding and a few days since it stopped shedding. There's some days there are some light liquid discharge at night. Had a lg BM by 2nd cup of coffee. For breakfast around 730 am had a bowl of pasta made last night with parmesan cheese. At work for lunch had a bowl of the pasta around 12 pm a 3rd cup of coffee and a grapefruit and an orange. For dinner when arriving back from work around 345 pm had a bowl of the same pasta with bluecheese and parmesan cheese. Have a couples massage 90 minutes each new clients at 6 pm local about 15 minutes from home and new clients filled out consent and is a surprise for the husband, but he needs his filled out. Had a mango around 420 pm and it was ripe and sweet, not tart, kept them out instead of in the fridge. The fruit is just firm and able to be squeezed a bit and doesn't fill solid with no squeeze room or too juicy. Perfect mango. Went to massage appointments at 5:30 pm only 9 minutes or 3.7 miles away. Nice couple one is a PT other an accountant young. Got home, laundry, notes, receipt, etc. Didn't eat anything. Tired. Went to bed at 10:30 pm.</t>
  </si>
  <si>
    <t>2 eggs over medium (140	10	3	12	0	0	140)
1 small avocado (322	29	4	4	17	18	14)
2 corn tortill mozzarella cheese quesadillas
4 corn tortillas (200	2	0	4	42	4	40)
1/2 cup mozzarella cheese (160	10	7	12	2	0	380)
2 oranges (162	0	0	4	42	8	4)
1 grapefruit (92	0	0	2	24	2	0)
1 1/2 cups chex cereal
(150   1	 0	3	32	2	280)
2 cups roasted pepper tomato soup Pacific brand
(240	6	4	12	38	4	660)
spaghetti squash (42	0.4	0	1	10	2.2	412)
jack cheese (block pieces approx 1/4 cup)
(100	8	5	7	0	0	170)
5 small organic tomatoes (22.1	0.2	0	1.1	4.8	1.5	6.2)
herbs like sage, thyme, basil, and dill all fresh
1/4 cup of walnuts (190	  18	1.5	4	4	2	0)
1 cup of applesauce (200	0	0	0	50	4	0)
1 tea bag of Teavana Beach bellisimo tea from Marshall's bought a few days ago 
(5    0    0    0    1    0    0)
1/2 cup chex (75   0.5	 0	1.5	16	1	140)</t>
  </si>
  <si>
    <t>Woke up at 4 am but had a 1/2 hour nap between laying back down after restarting the dryer and cleaning dog messes until 530 am. Had a cup of coffee while measuring my waist and fibroid. The waist is 32 1/2" and fibroid 33 1/2-34" depending on how tight I pull the tape measure. Weight was the same as last night before bed. My belly button is goind inward instead of sticking out and it hurts a little inside around the belly button. Had a BM while drinking 1st cup of coffee. Then another small BM before breakfast , and another small one before my shower. For breakfast I had a small avocado that I scraped black stuff from with 2 corn tortill mozzarella and paprika quesadillas. Maybe the herbs and spaghetti squash or maybe the teavana beach bellisimo tea I had last night an hour before bed time made me have more BMs not sure. But 3 BMs before work. Full schedule at work until 2 pm, went to Winco after work and was going to buy the supplies and get a money order at Wal mart but they aren't a one stop shop because it irritated me that I had to get assistance to buy disposable razors. I asked two workers busy putting stuff away, one told me to push the button, I didn't see the button, the other showed me where when she went by also obviously more worried about putting away their stock supplies. I pushed the button and waited 2 minutes after seeing the time. I give up on Wal-mart. I am seriously done with them. Even Winco doesn't lock up disposable razors like their employees' time is worthless and their consumers' time is also worthless. Not a motto I can be happy making any purchases with given that there are better options that don't make me feel like my time is worthless. Wasted 1/2 hour of my hour break there before concluding I will never shop there and for lunch when I got back I ate about a 1/2 cup of chex and a bowl of the spaghetti squash with tomatoes and jack cheese and herbs made last night. I brought a grapefruit but didn't eat it. I also had my 3rd cup of coffee on my lunch break before Wal-Mart. When I went to Winco got my supplies more than normal paper towels because of the rains and pups peeing and crapping all over the floors instead of outside. Made the spaghetti squash from last night into a beyond meat Del Monte 4 cheese pasta sauce with 2 packages of gluten free barilla spaghetti. Turned out great. They all taste the same. Pre packaged it into 6 to go containers of about 2 cups each container with about the same amount of pasta and sauce fillings. I worked out after eating a bowl with parmesan cheese for 12 - 3 minute rounds of kickboxing then the full workout of 18 exercises not following the list. Only increased the quads with squats and pectoralis major in military pressby 10 pounds to 95 pounds instead of 85 pounds and kept the increased weight on the other exercises from the other day. Weighed myself after my workout and was 144 on the dot. Only drank 2 bottles of water and sweat some but not a lot, kind of chilly out but not the coldest. Took my measurements after working out about an hour after and my arms are 11.25" relaxed but 12" flexed with the muscle. waist 31" and fibroid 33 1/2" an hour after taking off waist trimmer, 22 1/2" on thighs around thighs when knee up to 90 degrees, slightly more to 23" when just standing. I added another row for these new measurements at the end of the day. Went to bed around 9:30 PM</t>
  </si>
  <si>
    <t>Woke up at 530 am and lied in bed until 630 am. Had a cup of coffee and lg BM. Took waist measurements around belly button and fibroid for 31 1/2" around waist and 33" around fibroid. Rained last night all night the roommate says. Wet outside. Ate breakfast 2 eggs, 1 avocado, 2 quesadillas, went to work, had an orange before work, then for lunch had another orange, a grapefruit, a cup and a half of Chex cerel and 2 cups of roasted red pepper tomato soup. Then after work wanted a spaghetti squash from looking at recipes on the ipad at work, got sage, thyme, basil, dill fresh herbs, a bag of walnuts, and a pkg of 8 small round tomatoes a quarter the size of a regular sized tomato organic too. Baked the squash and tomatoes with some block pieces of jack cheese from Aldis bought the other day and the herbs and olive oil. Watched a move The Little Things on HBO Max. No workout today. Rained today and wet and cold outside. Ate 1/2 cup of chex while watching movie, kind of lame movie BTW. Did laundry before bed. Had a lg BM before bed. That's out of the ordinary because not on my rag and not drinking today. Possibly the herbs and spaghetti squash I never had before that I ate earlier. Measured my waist and fibroid and got 32 1/2" and 34" respectively. Got some books and charts that were ordered to prepare for premed courses, but not happy with the $10 anatomy/physiology coloring book as it is super basic. Went to bed around 9:30 pm.</t>
  </si>
  <si>
    <t>tricep extension above head dumbells 25 lbs 3 sets 10-12 reps
hamstrings leg flexion laying prone 3 sets 10-12 reps 40 lbs	
calves 3 sets 12 reps 50 lbs total with dumbells
military press 3 sets 40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10 reps 25 lbs
biceps curls 40 lbs 3 sets 8 reps 
standing abducturs 3 sets 10-12 reps 20 lbs
bench press 3 sets 8 reps barbell 75 lbs	
squats 3 sets 10 reps barbell 45 lb + 50lbs added weight 
leg lifts standing for abs, 3 sets 20 reps no added weight
dead lifts 3 sets 10-12 reps dumbells 50 lbs 
tricep extension rope standing 3 sets 25 lbs
upper abs 10 reps each side in 3 sets 20 lbs using rope extension curling at hips -5
lower abs with cable 20lbs leg lifts each side +20</t>
  </si>
  <si>
    <t>upr abs cable -5</t>
  </si>
  <si>
    <t>lwr abs cable +20</t>
  </si>
  <si>
    <t xml:space="preserve">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t>
  </si>
  <si>
    <t>blue cheese crumbles Treasure Cave brand Winco 1/4 cup serving sz</t>
  </si>
  <si>
    <t xml:space="preserve">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2 corn tortilla quesadillas with mozz/bluech/cinn/paprk
4 corn tortillas (200	2	0	4	42	4	40)
1/2 cup mozzarella cheese (160	 10	7	12	2	0	380)
1/4 cup blue cheese crumbles (100	8	4.5	5	2	0	360)
</t>
  </si>
  <si>
    <t>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Went to bed around 845 pm to 9pm and didn't have problems sleeping</t>
  </si>
  <si>
    <t>Krusteaz blueberry muffins, 2 muffins, 12 per box</t>
  </si>
  <si>
    <t>Krusteaz blueberry muffins, 12 muffins, 12 per box, used 3 eggs, 3/4 cup sour cream, 1/4 cup cinnamon applesauce, and coconut oil instead of butter 1/3-1/4 cup</t>
  </si>
  <si>
    <t>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orange (81	0	0	2	21	4	2)
Blueberry gluten free muffins the box by end of day with about 6 tablespoons of sourcream and 1/4 cup applesauce instead of milk and coconut oil instead of butter. The Krusteaz brand. 
That is 12 muffins, that called for 3 eggs as well.
	(1440	12	0	12	324	6	2940)
3 eggs 	(210	15	4.5	18	0	0	210)
3/4 cup sourcream (180	 15	10.5	3	6	0	45)
1/4 cup cinnamon applesauce (100	0	0	0	25	2	0)
2 corn tortilla quesadillas with mozz/bluech/cinn/paprk
4 corn tortillas (200	2	0	4	42	4	40)
1/2 cup mozzarella cheese (160	 10	7	12	2	0	380)
1/4 cup blue cheese crumbles (100	8	4.5	5	2	0	360)
orange (81	0	0	2	21	4	2)</t>
  </si>
  <si>
    <t>bluecheese Emporium Selection Brand, serving size 1 oz or 28 g, 5 per container</t>
  </si>
  <si>
    <t>Woke up at 5 am with enough sleep and laid in bed till about 530 am. Went to bed tired last night before 9 pm. Didn't have to get up to pee while asleep surprisingly. Had a cup of coffee and took measurements while drinking it. Had a BM after 1st cup of coffee and while drinking 2nd cup. Ate breakfast around 745 am, the last bowl of the pasta made a few days ago with bluecheese and parmesan cheese and a mango. Then made Krusteaz gluten free muffins with a substitution of coconut oil for butter, and 1/3 cup sourcream and 1/4 cup cinnamon applesauce for the 3/4 cup milk. And added 1/4 cup fresh blueberries organic to the canned blueberries.  ate 2 muffins, then 2 more 10 minutes after that, an orange, and had a break then 2 more, went to the bookstore to get one text book that came in and had 2 more muffins and 2 corn tortilla mozzarella cheese with blue cheese quesadillas and added cinnamon and paprika to one of them because I forgot the first one. Definitely tastes better with the spices, tangy. Began reading my intro to chemistry CHE-2A back in 2013 notes upon returning from book store and realized it is a good idea to finish reading up on those notes. Almost forgot all of it, but its coming back to me. My notes were terrible BTW bc of the fast writing while in lectures. I plan on eating the whole tin or 12 muffins. The roommate continues to do nothing but bitch about his shit not working and I seriously don't think he ever does anything but bitch, scream, cuss, and complain from minute 0 he awakes until he comes back from work the next morning. Nothing but bitching about shit that isn't that serious. So annoying. Working on the 12th muffin now its 6 pm. No workout today. Started watching some UK show, 'The Sister' on Hulu. Not difficult to turn off. Tried Bridgerton, didn't get into it by mid 1st episode. I can put the entire nutrition value on the daily calories consumed for the muffins. Didn't make any pasta today. I am counting this as processed sweet of a 0 in dieting. Had an orange at 7 pm. Went to bed around 9 pm after washing the pups' blankets in 2 loads.</t>
  </si>
  <si>
    <t xml:space="preserve">tricep extension above head dumbells 25 lbs 3 sets 10-12 reps
hamstrings leg flexion laying prone 3 sets 6-8 reps 45 lbs	+5
calves 3 sets 12 reps 50 lbs total with dumbells
military press 3 sets 40 lb dumbells 
upper trapezius shoulder shrugs 50 lbs dumbells 3 sets 10-12 reps
quads with leg extensions sitting 3 sets 8-10 reps 45 lbs	+5
shoulder lifts medial/posterior deltoids/latts 3 sets 6-8 reps 15 lbs	+5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+5
lower abs with cable 25 lbs leg lifts each side 	+5
tricep chair dips 3 sets 12 reps no added weight
standing adductors 3 sets 6-8 reps 25 lbs	+5
rhomboids scapula abduction 3 sets 10 reps 25 lbs
biceps curls 40 lbs 3 sets 8 reps 
standing abducturs 3 sets 6-8 reps 25 lbs	+5
bench press 3 sets 8 reps barbell 75 lbs	
</t>
  </si>
  <si>
    <t>hamstrings +5, quads +5, shoulders +5, inner thigh +5, outer thigh +5, upper abs +5, lower abs +5</t>
  </si>
  <si>
    <t xml:space="preserve">Woke up at 530 am by alarm and slept all the way through without any problems, had a cup of coffee and a BM when drinking the cup of coffee. Took my measurements. Posted a new blog on my findings from the 21 days Research on lipocavitation, exercise, and dieting by 715 am. Had my 2nd cup of coffee while doing so. Also had a 2nd BM between the earlier one and finishing the blog. Made 2 corn tortilla and mozzarella with blue cheese (new from Aldis-Emporium Selection brand) and paprika and cinnamon quesadillas but only ate 1/2 a quesadilla as I saved the other 1 1/2 for work. I ate a mango while waiting for them to cook. Went to work, Ate the 1 1/2 quesadillas on my lunch break and an orange and a small avocado with 1 cruncy taco from Aldi's and 5-6 walnuts and a 3rd cup of coffee. Did a workplace harassment hour long video and left. Worked out at 500 PM did 15 3-minute rounds free style and the normal 20 exercises now of weight training with some weight increases. Had terrible heart burn or vomit type acid reflux, getting stuck in my throat, made it burn like stomach acid burn. Was wearing my 31" waist trimmer like all workouts. Weighed my self at 750 PM about 45 minutes after working out and weighed 144.8 lbs. Drank only a bottle and a half or less during my workout. Sweat some but the acid reflux was terrible. My hair didn't get in the way due to the two braids and a hair scarf. Spoke with a Linked In contact recently made recruiting for office 365 fastrack for a data analyst/scientist with NLP experience and the cloud with Azure experience in ML and DL tools for ML and DL and chatbots. Sounds interesting. Seattle based, but remote. Not that hungry, probably because of the acid reflux and workout with different arrangement of 45 minutes of cardio. Suppressed my appetite for a while. Will check back. It is now 8 pm. Had a couple cage free organic eggs with orange yolk fried the usual style in olive oil or over medium with 1 corn tortilla and mozzarella and paprika quesadilla. Acid reflux still there. Tired, going to bed probably by 930 pm it is 910 pm now. </t>
  </si>
  <si>
    <t>2 corn tortilla quesadillas
4 corn tortillas Guerrero (200	  2	0	4	42	4	40)
1/2 cup mozzarella cheese (160	10	7	12	2	0	380)
2 servings blue cheese Emporium Selection brand 
(200	16	9	10	4	2	720)
1 orange (81	0	0	2	21	4	2)
1 small avocado (322	29	4	4	17	18	14)
1 crunchy taco Aldi's brand (52.8	2.31	0.66	0.66	6.93	0.66	0)
1 serving walnuts (190	18	1.5	4	4	2	0)
2 organic cage free eggs (140	10	3	12	0	0	140)
1 corn tortilla quesadilla
2 corn tortillas (100	1	0	2	21	2	20)
1/4 cup mozzarella cheese (80	5	3.5	6	1	0	190)</t>
  </si>
  <si>
    <t xml:space="preserve">Simply Nature Tomato soup 1 cup </t>
  </si>
  <si>
    <t xml:space="preserve">Woke up at 4 am and lied in bed until 430 am, then got up, had a cup of coffee after cleaning up the pet messes. Already out of 2 6 pack of cheap paper towels bought Sunday. Have 2 1/2 rolls left. They make a lot of messes. Also took apart the basil herb plant as many were dead. Didn't have a BM after 2 cups of coffee, had warm water with tiny bit of instant coffee, but had a BM before drinking it. Reviewed chemistry 2A and realized I forgot a great deal of it. Plan for doing a few hours of that review before 9 am. It's 6 am now. For breakfast around 9 am had 2 scrambled eggs with 2 corn tortilla and mozzarella with paprika quesadillas and 1 1/2 cups of cinnamon applesauce. Reviewed the intro chemistry took a little nap around 10 am for about 15-20 minutes, then reviewed some more and ate a cup of blueberries organic, and later showered and had lunch at 12 and 1230. Two quesadillas corn tortillas with blue cheese and mozzarella cinnamon and paprika and 1/2 can or 1 cup of tomato soup from the Aldi's Simply Nature brand and my 3rd cup of coffee at home with instant coffee instead of at work. At work, before work went to the Aldis across the street and got 2 bags of oranges a bag of grapefruits and a stack of bananas not yet rip still green. I was early and ate a grapefruit, orange, and banana before work. For dinner had 3 crunchy tacos, with 1 small avocado and mozzarella cheese, 1 cup of Chex to snack on and two oranges. </t>
  </si>
  <si>
    <t xml:space="preserve">2 corn tortilla quesadillas
4 corn tortillas Guerrero (200	  2	0	4	42	4	40)
1/2 cup mozzarella cheese (160	10	7	12	2	0	380)
2 organic cage free eggs scrambled (140	10	3	12	0	0	140)
1 1/2 cups cinnamon applesauce (300	0	0	0	75	6	0)
1 cup blueberries (42	0	0	1	13	2	1)
2 corn tortilla quesadillas
4 corn tortillas Guerrero (200	  2	0	4	42	4	40)
1/2 cup mozzarella cheese (160	10	7	12	2	0	380)
bluecheese (100	8	4.5	5	2	0	360)
1 cup tomato soup Simply Nature (130	3	0	3	23	2	620)
3 oranges (243	0	0	6	63	12	6)
1 grapefruit (92	0	0	2	24	2	0)
1 banana not ripe yet (105	0	0	1	27	3	1)
1 cup Chex  (150	1	0	3	33	2	280)
3 crunchy tacos (160	7	2	2	21	2	0)
1/2 cup mozzarella cheese (160	10	7	12	2	0	380)
1 small avocado (322	29	4	4	17	18	14)
</t>
  </si>
  <si>
    <t>Woke up at 5 am and stayed in bed till the roommate got back at 530 am then laid in bed until 6 am. Had my cup of coffee ready by 615 am and took measurements then had a lg BM. Balanced check book, wrote notes for massage appointments today after work, had my 2nd cup of coffee, then paid my personal and commercial vehicle payments after checking to see my work pay was direct deposited. Then had anoter reg. sz BM. For breakfast had the other 1/2 a can of tomato soup from yesterday is 1 cup, and 2 corn tortilla mozz paprk cinn bluech quesadillas. For lunch had a banana, 2 oranges, a pear, 3/4 avocado because the other 1/4 was scraped off and black, with 1/4 cup butternut squash soup and 2 crunchy tacos broken up into the mix of soup and avocado, tasted like guacomole with a sweet edge. After work had the same two quesadillas with corn tortillas mozz cinn bleuch paprk and about 3/4 cup of the butternut squash soup. Got back from private clients and got great reviews from one on Yelp and Google. Awesome! Then another called for this weekend. Yay. Did the laundry and SOAP notes and office work then had a cup of butternut squash soup before bed around 1045 pm.</t>
  </si>
  <si>
    <t>Avocado_3/4</t>
  </si>
  <si>
    <t>Sliced Muenster Cheese AldisHappy Farms Brand 1 slice serving</t>
  </si>
  <si>
    <t>Sliced Mozzarella Cheese Aldis Happy Farms Brand 1 slice serving</t>
  </si>
  <si>
    <t>2 corn tortilla quesadillas
4 corn tortillas Guerrero (200	  2	0	4	42	4	40)
1/2 cup mozzarella cheese (160	10	7	12	2	0	380)
bluecheese (100	8	4.5	5	2	0	360)
1 cup tomato soup Simply Nature (130	3	0	3	23	2	620)
2 oranges (162	0	0	4	42	8	4)
1 banana not ripe yet (105	0	0	1	27	3	1)
1 pear (57	0	0	0	15	3	1)
2 crunchy tacos (107	4.7	1.3 	1.3	14	1.3	0)
3/4 small avocado (241.5	21.75	3	3	12.75	13.5	10.5)
1/4 cup butternut squash soup 
3/4 cup butternut squash soup 
total 1 cup butternut squash soup (90	2	2	3	18	4	500)
2 corn tortilla quesadillas
4 corn tortillas Guerrero (200	  2	0	4	42	4	40)
1/2 cup mozzarella cheese (160	10	7	12	2	0	380)
bluecheese (100	8	4.5	5	2	0	360)
1 cup butternut squash soup (90	2	2	3	18	4	500)
1 corn tortilla (50	1	0	1	11	1	10)
1 slice Mozzarella cheese (60	4	2.5	5	1	0	140)</t>
  </si>
  <si>
    <t xml:space="preserve">tricep chair dips 3 sets 12 reps no added weight
standing adductors 3 sets 6-8 reps 25 lbs	
rhomboids scapula abduction 3 sets 10 reps 25 lbs
biceps curls 40 lbs 3 sets 8 reps 
standing abducturs 3 sets 6-8 reps 25 lbs	
bench press 3 sets 8 reps barbell 75 lbs	
tricep extension above head dumbells 25 lbs 3 sets 10-12 reps
hamstrings leg flexion laying prone 3 sets 6-8 reps 45 lbs	
calves 3 sets 12 reps 50 lbs total with dumbells
upper trapezius shoulder shrugs 50 lbs dumbells 3 sets 10-12 reps
quads with leg extensions sitting 3 sets 8-10 reps 45 lbs	
shoulder lifts medial/posterior deltoids/latts 3 sets 6-8 reps 15 lbs	
military press 3 sets 40 lb dumbells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t>
  </si>
  <si>
    <t>Rotini Red Fennel gluten free Barilla pasta,3.5 oz</t>
  </si>
  <si>
    <t>arugala, serving 30g</t>
  </si>
  <si>
    <t xml:space="preserve">3 1/2 corn tortilla quesadillas
7 corn tortillas Guerrero (350	  3.5	0	7	73.5	7	70)
3 slices Aldis mozzarella cheese (180	12	7.5	15	3	0	420)
1 slice Aldis Meunster cheese (80	6	4	5	0	0	130)
bluecheese (100	8	4.5	5	2	0	360)
1 grapefruit (92	0	0	2	24	2	0)
1 avocado (322	29	4	4	17	18	14)
2 oranges (162	0	0	4	42	8	4)
1 crunchy taco (53.5	2.35	1 	1	7	1	0)
2 organic cage free eggs boiled (140	10	3	12	0	0	140)
pasta rotini with beyond meat, broccoli, green bell peppers and red bell peppers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blueberries (42	0	0	1	13	2	1)
</t>
  </si>
  <si>
    <t>Woke up at 4 am because my dog Goody barked at Growly, laid in bed till 5 am trying to sleep, then got up. Had a cup of coffee, but spilled the first one wasted on the counter and had to clean it up, then while drinking the first cup of coffee folded the laundry and then had a BM after some paper work and preparing for a weekend scheduling after work for a client. I thought this weekend was a holiday but not for a few weeks on Washington Day and President's Day before that, but it is super bowl weekend. Have an appointment at 5 pm on Super Bowl Sunday. Took my measurements. Plan on working out tonight with 45 minutes of cardio and the 20 exercises for weight training. Last time I had really bad acid reflux while working out after eating, so I won't eat before working out today and see if it changes. Made 3 1/2 the last of the tortillas as quesadillas with 3 slices of Mozzarella and 1 slice of Muenster Aldi brand cheeses paprika bleucheese and cinnamon, and boiled 2 organic cage free eggs for work while getting ready for work. At lunch I ate the above plus 2 oranges, a grapefruit, 1 cruncy taco with 1 small avocado. I got home and worked out at 3:15 pm. It was warm out in the high 70s and the sun set after I finished the cardio 9-5 minute rounds totalling 45 minutes and weight lifting. I didn't eat anything before and still got some slight acid reflux. It must be the water while drinking and working out. It wasn't as bad as last time, but my headband scarf kept blocking my eyes by falling down. Hair didn't get in my face. I made pasta, rotini red fennel Barilla brand, with 2 cans of Del Monte 4 cheese pasta sauce, 1 package of beyond meat, 1 broccoli crown, 2 green bell peppers and a red bell pepper. Came out like soup but good. They all taste the same, was going to drain out the extra liquid but just kept it. I had a bowl of the pasta with parmesan cheese shortly after the pasta was done around 630 pm and shared a tiny bowl each with the pups, not with the meow meow. I also because she wouldn't like it. They loved it. Going to take measures before bed to show after the workouts. I also had a cup of blueberries after my pasta around 7 pm. Talked to mom from 7:30-8:30 pm, just discussing our lives. Bed time around 9:20 pm.</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</si>
  <si>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2 oranges (162	0	0	4	42	8	4)
1 small avocado (322	29	4	4	17	18	14)
1 grapefruit (92	0	0	2	24	2	0)
1 1/2 cups cinnamon applesauce (300	0	0	0	75	6	0)
1/2 cup of blueberries (42	0	0	1	13	2	1)
1 small banana (105	0	0	1	27	3	1)
bowl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t>
  </si>
  <si>
    <t>Woke up at 5:15 am got out of bed at 5:45 am, made my cup of coffee and fed the pups and cat, took my measurements around 6:10 am, had a BM and read some intro chemistry for review. I have a private client tonight that I haven't seen since Sep/Oct that likes deep tissue and had a pinched nerve in shoulder last time. Tomorrow I start my new schedule for Monday nights instead of Thursday night. I got a new couple, daughter and mom, referred from last daughter and mom couple the other day this Saturday. Looking forward to the business. Around 7:15 am had a bowl of pasta made last night with parmesan cheese. Then a banana. Another BM. Then got ready for work. Getting ready for work on time, going to wash hair today. Super bowl later, but I never really watch it and will be massaging a female client. At lunch had a bowl of the rotini pasta with parmesan cheese and 1 small avocado, an orange for breakfast and for lunch, and a grapefruit and the 3rd cup of coffee. At home after work and before my private client at 5 pm but at right before 4 pm had 1 1/2 cups approximately of cinnamon applesauce and about 1/2 cup of blueberries the last of the box. Had a small banana 20 minutes later, went to the client's, started late, complex apartment complex and parking. Ended at 7 pm, went to Aldi's got some apples, avocados, broccoli, Priano pasta sauce, corn tortillas Romeros brand, provolone sliced cheese happy farms brand. Got home around 730 pm and ate a bowl of rotini pasta around 8 pm with parmesan cheese. Sent client SOAP notes and receipt around 9 pm, put laundry in dryer, then went to bed around 9:30 PM</t>
  </si>
  <si>
    <t>1 cup of spaghetti squash 2 cups, walnuts 4 servings, red &amp; green bell pepper, olive oil 4 tbsp, made about 4 cups as a medley</t>
  </si>
  <si>
    <t>1 cup of beyond meat (1 1/2 cups) and butternut squash soup (3 cups) with Dill</t>
  </si>
  <si>
    <t>beyondMeat-soy/gluten free-serving 4oz, 4 servings per pkg</t>
  </si>
  <si>
    <t>yams</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</si>
  <si>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4 Andes Chocolate mints (100	7	6	1	11	1	10)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spaghetti squash/walnuts/sage/red and green bell peppers
(350.25	32.2	3.5	5	13.25	4.35	207.25)
1 cup of beyond meat in butternut squash soup with Dill
(132.5	6	2.75	7.25	14.75	3.5	462.5)
1/3 cup yams (118	0	0	2	28	4	9)
13 Andes mints (325	21.125	19.5	3.25	35.75	3.25	32.5)
2 oranges (81	0	0	2	21	4	2)
1 grapefruit (92	0	0	2	24	2	0)
1 banana (105	0	0	1	27	3	1)
1 cup of spaghetti squash/walnuts/sage/red and green bell peppers
(350.25	32.2	3.5	5	13.25	4.35	207.25)
1 cup of beyond meat in butternut squash soup with Dill
(132.5	6	2.75	7.25	14.75	3.5	462.5)
1/3 cup yams (118	0	0	2	28	4	9)
</t>
  </si>
  <si>
    <t xml:space="preserve">Woke up at 4:30 am, peed, went back to sleep and woke up by alarm at 630 am. Had a small solid BM instead of the usual vegetarian consistency of a snaked smoothie frosting or similar (which makes me wonder if its the rotini pasta or beyond meat because nothing new has been digested in my diet than the normal pasta and fruit and veggies, could be the sliced cheese the other day from Aldis for the quesadillas instead of shredded cheese) while drinking 1st cup of coffee and after folding laundry and putting it away from last night. Started a jotform contract to let my nieces share use of the Dodge Charger while I sell it. And saw messages that my older sister is thinking about going to TX to get Mom because she is done with her loser husband of 30+ years for not sharing the stimulus checks, lying about it, and lying about getting her marriage certificate so that she can get an ID and a job and fix her teeth. Weighed myself at 7 am and weigh 142 pounds. Took measurements at 810 AM and kept weight measurement from earlier. Ate a  bowl of pasta at 815 am and showered afterwards. Going to get my textbook when they open at 9 am. Had 1/2 a small banana it was bruised and came apart when peeled before showering. Picked up my book and went to Winco, got some new sopa corn tortilla shells to try, sour cream, beyond meat, and other items. When I got home around 11 am, I made spaghetti squash and yams, in the spaghetti squash put about 3/4 cup of what was left of the fresh sage with about 1 cup of walnuts and one red bell pepper and 1 green bell pepper chopped inside each spaghetti squash with about 3 tbls olive oil each and baked covered in aluminum foil top filling only for 400 degrees for 40 minutes. The squash could have used a few minutes more but was able to be scraped to look like noodles and the yams were tender and sweet. The beyond meat was low medium simmered in 3 cups of the remaining butternut squash soup with about 3 branches in the package of fresh Dill with the leaves only and not the thin branches for about 30 minutes until the beyond meat was done. That turned out sweet and savory almost like a Thai or Indian dish. Packed a bowl with about a cup of the spaghetti noodles and a cup of the beyond meat butternut squash medley and about 1/3 cup of the yams, ate some of it after eating the rest of the rotini pasta in 1 bowl with parmesan cheese. I had my 3rd cup of instant coffee at this time. I also washed the car and vacuumed the Dodge Charger before picking up my textbook and ate 4 of the chocolate Andes mints when unloading the groceries that I found in the car in the package of mints I forgot about. I opened the box of my text book and it is a loose leaf binder textbook siran wrapped, I will have to get a 2" binder for it. When I went to work I stopped off at Staples and got a couple pens with pastel ink and four color options with a 2" binder then went to work. Had 2 Andes mints before work but after eating  an orange then a grapefruit, on break had 2 more Andes mints to start, but in total had 13 Andes chocolate mints since leaving the house or the rest of the package. I also ate the bowl of the spaghetti squash and beyond meat made earlier with yams. Too much sage, I tasted it in the peppers and squash. I put the whole package of sage practically in the squash when cooking them. I also had a banana and another orange. Went to bed around 1130 PM. Had to check some stuff for paperless billing and email camtc about sending my certificate somewhere else because the postal guy keeps throwing our mail on the lawn by a heavy foot traffic area and I have complained to Kristen at USPS locally about it. The dude is a complete loser asshole. </t>
  </si>
  <si>
    <t>sodiumDailyIntake_mg</t>
  </si>
  <si>
    <t>fat_Calories_ratio</t>
  </si>
  <si>
    <t>saturatedFat_Calories_ratio</t>
  </si>
  <si>
    <t>protein_Calories_ratio</t>
  </si>
  <si>
    <t>carbs_Calories_ratio</t>
  </si>
  <si>
    <t>fiber_Calories_ratio</t>
  </si>
  <si>
    <t>sodim_Calories_ratio</t>
  </si>
  <si>
    <t>sopa El Comal brand 1 serving is 1 sopa</t>
  </si>
  <si>
    <t>sourcream_2tbls Daisy brand</t>
  </si>
  <si>
    <t xml:space="preserve">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standing abducturs outer thighs 3 sets 6-8 reps 25 lbs	
standing adductors inner thighs 3 sets 6-8 reps 25 lbs	
tricep extension above head dumbells 25 lbs 3 sets 10-12 reps
calves 3 sets 12 reps 50 lbs total with dumbells
upper trapezius shoulder shrugs 50 lbs dumbells 3 sets 10-12 reps
shoulder lifts medial/posterior deltoids/latts 3 sets 6-8 reps 10 lbs	-5
military press 3 sets 40 lb dumbells 
obliques side extensions 3 sets 12 reps 25 lbs
rhomboids scapula abduction 3 sets 10 reps 25 lbs
biceps curls 40 lbs 3 sets 8 reps 
bench press 2 sets 8 reps barbell 75 lbs (1 set 1st 85, 6 reps)	+10
hamstrings leg flexion laying prone 3 sets 6-8 reps 45 lbs	
tricep chair dips 3 sets 12 reps no added weight
quads with leg extensions sitting 3 sets 8-10 reps 45 lbs	</t>
  </si>
  <si>
    <t>2 eggs (140	10	3	12	0	0	140)
1 small avocado 3/4 the size of large avocado
(241.5	21.75	3	3	12.75	13.5	10.5)
1 banana (105	0	0	1	27	3	1)
1 grapefruit (92	0	0	2	24	2	0)
1 orange (81	0	0	2	21	4	2)
1/8 of 1 sopa El Comal brand (100	1	0	2	21	2	60)
1 cup butternut squash beyond meat medley
(132.5	6	2.75	7.25	14.75	3.5	462.5)
1 small avocado 3/4 size of 1 avocado 
(241.5	21.75	3	3	12.75	13.5	10.5)
2 tbs sourcream Daisey brand (60	5	3.5	1	0	1	15)
1 cup butternut squash beyond 
(132.5	6	2.75	7.25	14.75	3.5	462.5)
1 cup spaghetti squash herbs peppers walnuts 
(350.25	32.2	3.5	5	13.25	4.35	207.25)
1/4 cup yams 
(118	0	0	2	28	4	9)
1/3 cup Mozzarella cut from block about 2 servings
(200	16	10	14	0	0	340)
5 strawberries about 1/2 cup (50	    0	  0	0	12	2	0)</t>
  </si>
  <si>
    <t>Woke up at 4:30 am to pee then went to bed until about 615 am and laid in bed until the alarm went off at 630 am. Made my cup of coffee, weighed myself at 139.4, calculated yesterday's calories, had a lg BM, weighed myself again at 139.4, did the rest of yesterday's calculations. I finished the cup of coffee and weighed myself about 45 minutes after last time and weighed 140.2. This must be due to gravity, no joke. Odd to have a lg BM and no weight change, then drink the remaining cup of coffee and have an increase in weight. Weight is mass in kg*9.91m/s^2 and looking it up 140 lbs is 63.5 kg of mass. Gravity must have been slightly slower about 45 minutes ago. Was about to cancel Netflix the other day or yesterday when cancelling HBO-Max and DisneyHuluESPN2+, but they finally have The Sinner 3rd season out, the reason I resubscribed in August, yet it wasn't out and they had some filler series to occupy my time. Starting that today, plan for working out around 2 pm. Got the loose leaf chemistry book in the notebook binder bought yesterday, had started the El Comal sopas in my quesadilla maker but wasn't a fan of them maybe if they are cooked or baked in the oven instead, ate 2 bites with 2 organic cage free eggs fried in olive oil over medium with 1 small avocado ripe from Aldis. I would say I ate 1/8 of one sopa plus the 2 eggs and avocado. Then a small banana, an orange and a grapefruit. I had a cup of the butternut squash beyond meat medley with 1 small avocado and 2 tbs sourcream the daisy squeeze brand around 1030 am. I took a nap around 11 am and slept for 20-45 minutes, its cloudy and overcast out, makes me tired. Got up around 12 pm and started reading my previous chemistry notes onto oxidation and reduction. Starting to come back to me. Was looking at balancing equations. Had my 3rd cup of coffe at 130 pm approximately and fed the babies. Worked out at about 2:15 pm, did Doja cat radio on Spotify and it was ssslllooooowww, did 15 3-minute rounds cardio kickboxing, then the 20 exercises for weight training. Felt hot/warm like 70 degrees while working out after starting but the weather said 46 degrees. Ate a bowl of the spaghetti squash 1 cup with 1 cup of butternut beyond and about 4 slices of yams. I took out the sage leaves and now it tastes much better, eating the sage leaves was too herbal for me last night during my break at work. The past weather in Corona, CA says it was 59 degrees, that seems more accurate. I went to bed after reading some of my genetics textbook the last of chapter 1 and the beginning of chapter 2 and getting to the climax of The Sinner season 3 I paused while reading the last 20 minutes until 9 pm when I went to bed. I didn't eat anything for a few hours before bed.</t>
  </si>
  <si>
    <t>Did you avoid alcohol? 0 for no, 1 for yes</t>
  </si>
  <si>
    <t>Did you avoid processed sweets like cake or candy? 0 for no, 1 for yes</t>
  </si>
  <si>
    <t>Did you keep added butter out of your meals? 0 for no, 1 for yes</t>
  </si>
  <si>
    <t>Did you stay meat free? 0 for no, 1 for yes</t>
  </si>
  <si>
    <t>Did you avoid gluten (rye, barley, wheat)? 0 for no, 1 for yes</t>
  </si>
  <si>
    <t>How many hours in all did you get through the night before waking up for the day or including a nap later in the day</t>
  </si>
  <si>
    <t>Did you wear compression socks? 0 for no, 1 for yes</t>
  </si>
  <si>
    <t>Did you wear a waist trimmer and if so what was the inches of widest closures a 31 or 32 inch? 0 for no, 1 for yes and 31 or 32 for the size of small or medium</t>
  </si>
  <si>
    <t>Total amount in pounds the workout decreased weights since last workout</t>
  </si>
  <si>
    <t>Total amount in pounds the workout increased weights since last workout</t>
  </si>
  <si>
    <t>What parts of the body decreased in weight during exercises involving weight lifting since last workout in pounds</t>
  </si>
  <si>
    <t>What parts of the body increased in weight during exercises involving weight lifting since last workout in pounds</t>
  </si>
  <si>
    <t>The list of exercises done, the number of sets, and range of repetitions in each set, with the amount in pounds used for the exercises</t>
  </si>
  <si>
    <t>Did you have a bowel movement and how many during the day total? 0 for none, 1 for 1, 2 for 2, and so on</t>
  </si>
  <si>
    <t>How many cups of coffee did you drink during the day?</t>
  </si>
  <si>
    <t>The measurement of sodium in milligrams to the total calories consumed</t>
  </si>
  <si>
    <t>the ratio of fiber in grams to total calories consumed in the day</t>
  </si>
  <si>
    <t>the ratio of protein in grams to total calories consumed in the day</t>
  </si>
  <si>
    <t>the ratio of saturated fat in grams to total calories consumed in the day</t>
  </si>
  <si>
    <t>the ratio of fat including saturated fat in grams to total calories consumed in the day</t>
  </si>
  <si>
    <t>the ratio of carbs including fiber in grams to total calories consumed in the day</t>
  </si>
  <si>
    <t>The total mg of sodium consumed for the day</t>
  </si>
  <si>
    <t>the total g of fiber consumed the day</t>
  </si>
  <si>
    <t>the total protein in grams consumed in the day</t>
  </si>
  <si>
    <t>the total saturated fat in grams consumed in the day</t>
  </si>
  <si>
    <t>the total fat including saturated fat consumed in the day</t>
  </si>
  <si>
    <t>the total calories consumed in the day</t>
  </si>
  <si>
    <t>the total carbs including fiber in grams consumed the day</t>
  </si>
  <si>
    <t>List of food with their calories, fat, saturated fat, protein, carbs, fiber, and sodium for the serving of each food item eaten</t>
  </si>
  <si>
    <t>Notes on personal and daily changes, like time woken up from sleep, food eaten, diary items, bowel movements, time measurements taken and changes from hours or minutes previously that measurements taken, and time went to sleep, if unable to sleep all the way through, then why, and other miscellaneous of diary notes.</t>
  </si>
  <si>
    <t>Using a calibrating pincher to pinch fat at the arm of the tricep on the right arm while relaxed to get the MM measurement. Every notch is 2 MM and 5 sections between each 10 unit interval.</t>
  </si>
  <si>
    <t>Using a calibrating pincher to pinch fat at the arm of the tricep on the left arm while relaxed to get the MM measurement. Every notch is 2 MM and 5 sections between each 10 unit interval.</t>
  </si>
  <si>
    <t>Using a calibrating pincher to pinch fat at the right of the belly button of the abs while relaxed to get the MM measurement. Every notch is 2 MM and 5 sections between each 10 unit interval.</t>
  </si>
  <si>
    <t>Using a calibrating pincher to pinch fat at the left of the belly button while relaxed to get the MM measurement. Every notch is 2 MM and 5 sections between each 10 unit interval.</t>
  </si>
  <si>
    <t>Using a calibrating pincher to pinch fat at the inner thigh fat at the superior portion of the right thigh while leg up on a step and relaxed to get the MM measurement. Every notch is 2 MM and 5 sections between each 10 unit interval.</t>
  </si>
  <si>
    <t>Using a calibrating pincher to pinch fat at the inner thigh of the left most superior fat area while leg on a step and relaxed to get the MM measurement. Every notch is 2 MM and 5 sections between each 10 unit interval.</t>
  </si>
  <si>
    <t>Using a tape measure, the left thigh at the highest circumference of the thigh below the butt in inches</t>
  </si>
  <si>
    <t>Using a tape measure, the right thigh at the highest circumference of the thigh below the butt in inches</t>
  </si>
  <si>
    <t>using a tape measure, the left arm right below the deltoid while arm extended out and relaxed, in inches</t>
  </si>
  <si>
    <t>using a tape measure, the right arm right below the deltoid while arm extended out and relaxed, in inches</t>
  </si>
  <si>
    <t>using a tape measure the uterine leiomyoma or UL is measured at the max of the belly about 1 1/2" or two knuckles lengths of the index finger below the belly button, this is the circumference of the belly two knuckles below the belly button in inches</t>
  </si>
  <si>
    <t>using a tape measure this is the waist line measurement at the belly button in inches</t>
  </si>
  <si>
    <t>The amount of calories in total for all calculated food items for the day before the measurements being taken</t>
  </si>
  <si>
    <t>The amount of weight in pounds that today's weight changed from yesterday's weight in pounds measurement</t>
  </si>
  <si>
    <t>The weight in pounds using a digital scale, sometimes taken twice to track changes along with the other measurements before the day starts and after working out but not immediately after working out.</t>
  </si>
  <si>
    <t>The time the weight and the inches and MM measurements of the arms, thighs, and abs is taken for the day</t>
  </si>
  <si>
    <t>The total number of minutes of kickboxing done in the workout of cardio for the day or the total minutes the rounds and length of the rounds in minutes for the day adds up to</t>
  </si>
  <si>
    <t>This is Mon-Sun for the day of the week as an abbreviation for the day the observation is on</t>
  </si>
  <si>
    <t>The date that the observation is with the month/day/year format, in programming it is better to do month-day-year format, but I have an R program for that</t>
  </si>
  <si>
    <t>The time as AM or PM for either the time of the workout or in general at the mid afternoon what the time was to put the weather for that time</t>
  </si>
  <si>
    <t>The weather in Fehrenheight degrees at the time feature recorded using Google to search the weather closest to that time</t>
  </si>
  <si>
    <t xml:space="preserve">The number of rounds of cardio done using onlineboxingtimer.com can be any number of rounds. </t>
  </si>
  <si>
    <t>The number of minutes that each round is that day with all rest or break intervals exactly one minute to drink, wipe sweat, pull hair out of face clear sinuses, etc.</t>
  </si>
  <si>
    <t>1 cup butternut squash beyond 
(132.5	6	2.75	7.25	14.75	3.5	462.5)
1 cup spaghetti squash herbs peppers walnuts 
(350.25	32.2	3.5	5	13.25	4.35	207.25)
1/4 cup yams 
(118	0	0	2	28	4	9)
2 tbs sourcream Daisey brand 
(60	5	3.5	1	0	1	15)
1 cup butternut squash beyond 
(132.5	6	2.75	7.25	14.75	3.5	462.5)
1 cup spaghetti squash herbs peppers walnuts 
(350.25	32.2	3.5	5	13.25	4.35	207.25)
1/4 cup yams 
(118	0	0	2	28	4	9)
2 oranges (162	0	0	4	42	8	4)
2 grapefruit (184	0	0	4	48	4	0)</t>
  </si>
  <si>
    <t>totalBodyWeightTraining</t>
  </si>
  <si>
    <t>Was total body weight training done on this day. A 0 for no and a 1 for yes. First day not doing weight training immediately after cardio started on Day 16 after 1st menstruation on Feb 10th 2021</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</si>
  <si>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t>
  </si>
  <si>
    <t>corn tortillas Romero brand, 1 tortilla serving</t>
  </si>
  <si>
    <t>pecs bench +10 1 set</t>
  </si>
  <si>
    <t>shoulders -5</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</si>
  <si>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 Took my measurements at 7:15 pm after eating and working out, my weight didn't change that much because I only drank 3/4 of a water bottle. Started watching The Magicians on Netflix about 6:00 pm while taking measurements and eating. I was tired around 7:45 pm and went to bed by 8:00 pm.</t>
  </si>
  <si>
    <t xml:space="preserve">rhomboids scapula abduction 3 sets 8 reps 30 lbs     +5
biceps curls 40 lbs 3 sets 8 reps 
bench press 2 sets 6 reps barbell 85 lbs	+10
hamstrings leg flexion laying prone 3 sets 6-8 reps 45 lbs	
tricep chair dips 3 sets 12 reps no added weight
quads with leg extensions sitting 3 sets 8-10 reps 45 lbs
tricep extension above head dumbells 30 lbs 3 sets 8 reps	+5
military press 3 sets 40 lb dumbells 
obliques side extensions 3 sets 10 reps 30 lbs	+5
shoulder lifts medial/posterior deltoids/latts 3 sets 6-8 reps 15 lbs	+5
calves 3 sets 12 reps 60 lbs total with dumbells	+10
upper trapezius shoulder shrugs 60 lbs dumbells 3 sets 10-12 reps	+10
squats 3 sets 10 reps barbell 45 lb + 50lbs added weight 
leg lifts standing for abs, 3 sets 12 reps no added weight
dead lifts 3 sets 10-12 reps dumbells 60 lbs	+10 
tricep extension cable 3 sets 25 lbs
upper abs cable 10 reps each side in 3 sets 25 lbs 	
lower abs with cable 25 lbs leg lifts each side 	
standing abducturs outer thighs 3 sets 6-8 reps 25 lbs	
standing adductors inner thighs 3 sets 6-8 reps 25 lbs	</t>
  </si>
  <si>
    <t>Almond milk Friendly farms Aldis, 1 serving is 1 cup</t>
  </si>
  <si>
    <t>Walnuts Aldis brand 1 serving is 1/4 cup</t>
  </si>
  <si>
    <t>Cocoa Powder for baking, Aldis brand</t>
  </si>
  <si>
    <t>rhomboids +5, pecs +10, triceps +5, obliques +5, deltoids +5, calves +10, upper trapezius +10, hamstrings QLs +10</t>
  </si>
  <si>
    <t xml:space="preserve">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</si>
  <si>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</si>
  <si>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Bed time around 9:30, after measurements taken at 9:15 pm</t>
  </si>
  <si>
    <t>Rotini Red Fennel gluten free Barilla pasta,3.5 oz serving, 4.5 servings per box</t>
  </si>
  <si>
    <t>Rotini Beyond meat pasta 2/12/2021, 1 serving/bowl</t>
  </si>
  <si>
    <t>Priano 4 Cheese Pasta Sauce, 1 serving is 1 cup, 2.5 per jar</t>
  </si>
  <si>
    <t>honey, Aldis, simply nature brand, 1 tbsp serving</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</si>
  <si>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honey (60    0    0    0   17  0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</si>
  <si>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3 bowls of rotini pasta
(red fennel Barilla brand rotini 1pkg, beyond meat 1pkg, 1 red bell pepper,
1 green bell pepper, 3 broccoli crowns, 1 jar Priano 4 cheese pasta sauce)
(788	24.34	6.54	51	101	23	845.03)
1 orange (81	0	0	2	21	4	2)
1 grapefruit (92	0	0	2	24	2	0)
1 avocado (322	29	4	4	17	18	14)
1/8 cup bleucheese (100	8	4.5	5	2	1	360)
3 servings parmesan cheese (60	4.5	3	6	0	0	300)
walnuts 1/4 cup (200	20	2	5	4	2	0)
banana (105	0	0	1	27	3	1)
honey 1 tbsp(60	0	0	0	17	0	0)
cocoa powder (10	0.5	0	1	3	1	0)
almond milk 1/8 cup(5	0.375	0	0.125	0.25	0.125	22.5)</t>
  </si>
  <si>
    <t>Woke up at 2 am dehydrated, drank a bottle of water not all at once and a cup of ice while reading the first few sections of chapter 3 in the genetics textbook on gametes and genes and genotypes of allelles and recessive and dominant genes. Went to bed around 2:50 pm, but didn't really sleep, laid in bed hot, had the heater on electric and gas as usual because when I turn them off it gets cold. Got up at 610 am when Shane got home slightly before that. Took measurements then had a lg BM before the BM my weight was 141 but after it was 139.2 pounds and the waistline and fibroid waistline was 32.5 and 33.5 inches and after was 31 and 33.25 respectively. My side started hurting again last night on my right side and radiating to the right side of the low back. Will be menstruating soon, could have been from big BM inside or my kidney. But still hurts some after the lg BM. I will use the waistline measurements after the lg BM and the weight. I made a note of it here. After my 2nd cup of coffee with breakfast my side pain wasn't noticeable and not during the day at work but it did come back a little bit while at work but left. I ate breakfast at 730 am after making a rotini red fennel Barilla brand pasta the usual way with broccoli but 3 crowns, a red bell pepper, and a green bell pepper, and Priano brand 4 cheese spaghetti sauce. At work I had an orange, a grapefruit, and another bowl of rotini pasta with my 3rd cup of coffee. After work I had a 3rd bowl of rotini pasta at 530 pm with 2 tbsp sourcream. The other two bowls of pasta I had 1/2 an avocado with each one. While at work was curious about becoming a chiropractor alternatively, and checked out a school in Whittier Southern California University of Health Sciences. They have a 3 yr program and a high retention and exam pass rate. The respondent said they make an average of $110,000 a year according to salary.com yet the job posts for them says they make about 60k a year on Indeed. They also only require minimal science courses, a GPA of at least 2.78 on a 4.00 scale, and a bachelor degree. Sounds like an in for me but waiting to see the cost. Doesn't say on the site. It sprinkled rain on the way to work and then on the 71 had a heavy rain I drove through for about 45 seconds, then later at work no clounds in the sky but the air was clean, smell in Eastvale like cow maneur the way Waze directed me to go instead of the freeway. I had a bowl of the mix of cocao powder, honey, bananas, walnuts, and almond milk made last night and doesn't look delicious, but is sweet enough to satisfy a sweet tooth. Had a tbs of honey, with about 1/4 cup of walnuts, and 1/4 tbs of cocao powder around 8 pm. Went to bed at just before 9 pm.</t>
  </si>
  <si>
    <t>sodium_Calories_ratio</t>
  </si>
  <si>
    <t>3 bowls of rotini pasta
(red fennel Barilla brand rotini 1pkg, beyond meat 1pkg, 1 red bell pepper,
1 green bell pepper, 3 broccoli crowns, 1 jar Priano 4 cheese pasta sauce)
(788	24.34	6.54	51	101	23	845.03)
1 orange (81	0	0	2	21	4	2)
1 avocado (322	29	4	4	17	18	14)
1 avocado (322	29	4	4	17	18	14)
4 tbsp sourcream (60	5	3.5	1	0	1	15)
total below only ate about 5% of eggs:
(7.5 0.53  0.15   0.6125   0.025   0.0125  9.25)
2 eggs scrambled with almond milk 
don't include:(140	10	3	12	0	0	140)
1/4 cup almond milk
don't include: (10	0.75	0	0.25	0.5	0.25	45)
2 corn tortilla quesadillas
2 corn tortillas
(72	0	0	2	14	2	36)
1 slice meunster cheese
(80	6	4	5	0	0	130)</t>
  </si>
  <si>
    <t>Woke up at 4 am and lied in bed until 415 am, restarted the dryer of my work clothes and had my first cup of coffee by 430 am. Took measurements and had a lg BM, re-weighed myself and the same 140.8 as before lg BM, the waistline shrunk down to 31.50 from 32.50 and the fibroid waistline shrunk to 32.75 from 33.25. Reviewed the new clients tonight referred from a client for the 4 pm tonight. For breakfast I had a bowl of the rotini pasta with a whole avocado and 2 tbs sourcream, packed an orange and a bowl of the pasta for lunch. Ate that for lunch, then after work had the last of the rotini pasta and a whole avocado with 2 tbs sour cream. Went to the 4 pm mom/daughter couples. They are a very nice family. Got back at just before 7 pm and have a couples tomorrow at 5 pm in Chino Hills from clients that are also very nice. They are busy so might push it later if they need to. That one is a 1 1/2 hour each, today's was 1 hour each. Didn't eat anything when I came back home. When I left for the massage in town earlier, a Jeep Grand Cherokee pulled into the spot Shane parks his truck next to the house off the alley and came out with Chick Fil A and walked around the front of the house. I don't know where but the other side is empty, and Shane didn't know anybody driving a Jeep. The guy left but didn't say anything I thought it was his friend that always brings him something but missed him at the gym. Noting this now. No workout today or tomorrow, because of the appointments, but thats ok, I will have a cardio and weight training early morning Monday to make up for it before work, and again on Tuesday. Also, I had to call my manager after work on the way home, because the front book us back to back and make up for it by sanitizing, but throw their wipes in the trash even when it is empty  and they should know that we change the trash after our shift. She said she would talk to them about that, because it makes no sense for them to have gloves on and only have sanitizing wipes, but throw it in the trash knowing its empty. Its an irritant on top of the irritant of being booked back to back that closely and having to sanitize that can be nipped in the butt. Kaley and Robyn and Calissa all do it, maybe they don't know, but now they will that we change the trash out after our shift or else the other person taking the room throws a fit and people start leaving their trash and throwing the names of the people leaving trash. Why even throw it in the empty trash? Otherwise, they are nice, and I know they probably don't like having to clean the rooms either because a line forms up front or whatever they have going on, but I know I would rather have the 15 minutes after each appointment to do it myself and not have to worry about somebody doing that. After I saw Robyn and Clarissa do that I started throwing my trash in their quiet room trash knowing they have the same responsibility for keeping it empty, and today I figured I should try to solve it the adult way and tell my manager so she can tell them to stop doing it or come to some compromise that is agreed on. Chris didn't like that he was standing in the room with me in it and I wanted to put in my notes instead of taking the linens forcing him to do it instead. Because if your going to be in the room then help clean it is my motto. And either way he can't take his client until the notes are entered and I am logged out of the ipad and the room disinfected and new linens on it. Its not a pet peeve either, we all have our duties and responsibilities and when the front who are separately managed interfere with our routines and create more work its unnecessary stress that can easily be solved by keeping their used disinfectant wipes in their gloved hands until they go to the break room or front cashier area trash cans to throw it away. Not complicated at all. Really not. I was going to go to bed without eating anything by 9 pm, but had to eat something, cravings. Made 2 eggs scrambled with Almond milk that I poured too much into when microwaving it and one corn tortilla quesadilla at 850 pm with meunster cheese. I only ate a couple bites of the eggs but all the quesadilla. So maybe 5% of the total nutrition of the eggs. Laundry linens from earlier were in the dryer before eating, going to bed at 9:30 pm after washing my bowl from dinner.</t>
  </si>
  <si>
    <t>sliced provolone cheese Happy Farms Aldis, serving is 1 slice</t>
  </si>
  <si>
    <t xml:space="preserve">red penne pasta 4 servings
(1320	10	2	92	244	44	0)
Priano 4 cheese pasta sauce 4 servings 
(360	14	4	12	48	12	1840)
3 slices Meunster cheese 
(240	18	12	15	0	0	390)
2 avocados (644	  58	8	8	34	36	28)
2 oranges (162	0	0	4	42	8	4)
4 tbsp sourcream (120	10	7	2	0	2	30)
3 slices provolone cheese (70	5	3	5	0	0	170)
2 corn tortillas Romero brand (72	0	0	2	14	2	36)
</t>
  </si>
  <si>
    <t>Woke up at 5 am and laid in bed until 530 am. Got my cup of coffee and fed the babies, no messes to clean because Shane cleaned them earlier in the night making a lot of noise while also cooking his chicken in the oven and the dishes. Had a lg BM after 1 st cup of coffee and after making 2nd cup of coffee. Measured waistline again and 31.5" for the waistline and 33" for the fibroid waistline. Made red fennel penne pasta Barilla brand with Priano 4 cheese sauce. Had a bowl of the pasta with 1 small avocado and 1 slice of meunster cheese and 2 tbs Daisy sourcream and packed a bowl with 1 small avocado and 1 slice of meunster cheese. No veggies in this one. There is one bowl left. So the whole jar and whole package of pasta by the end of the day. I have a couples at 5 pm for 3 -3 1/2 hours in Chino Hills tonight. I got back around 9 pm, great couple, 3rd time massaging them. I put the linens in the laundry, they shared this time, and washed the lotion bottle, soap bottle, aroma bottles, and the stones and cups. Then had that 3rd bowl of pasta to finish the red fennel penne. I put 2 tbls of sourcream and 2 slices of the Aldis Happy Farms Provolone sliced cheese in it. Went to bed at 11 am after sending the SOAP notes to the clients earlier and their receipt.</t>
  </si>
  <si>
    <t>green beans Green Giant prepackaged brand, 1 cup is a serving, 11 cups per pkg</t>
  </si>
  <si>
    <t>orange bell pepper</t>
  </si>
  <si>
    <t>sourcream_2tbls Winco brand</t>
  </si>
  <si>
    <t>1 whole pot of Butternut squash soup 4 cups/servings with 1 pkg of beyond meat 4 servings, 8 cups green beans,1 orange and 1 green bell pepper 2 tbs olive oil</t>
  </si>
  <si>
    <t>Woke up at 5 am but laid in bed until 545 am, had a cup of coffee and then a lg BM, didn't take my measurements before the BM. Going to work out with cardio and weight training today before work, but also need to go to the grocery store. Only have 2 bottles of water left and need fruit, veggies, more tortillas, etc. I only did the cardio. Then I went to the grocery store with the weather in the low 40s around 945 am. I got butternut squash soup, yellow and green bell peppers, green beans instead of broccoli from Green Giant bagged brand, 2 pkgs beyond meat and new to this menu pasta sauce, a vineyard marinara and a 3 cheese from Prego for both I think. Not using them today. I ate a pear around 1030 am as the first thing I ate. It was still in the fridge from weeks ago when I bought them. The only  fruit not going bad. Not buying bagged fruit from Aldis anymore a whole bag of apples was bad last week and the oranges are bad too, cuts and something like mold or bug infestation without bugs was on a couple of the oranges at Aldi's from last week. I got some hand picked by me oranges and grapefruits. Was going to get avocados but they were priced high, same with the grapefruit but the grapefruit felt ripe and good the avocados felt squishy like they have a lot of black rot in them. I also got 1 pks of paper towels and 1 pk of toilet paper, some gallon zip lock generic brand bags and a roll of alumninum foil. Kept seeing alchohol every corner, was going to get some wine, but holding off for now. My workouts have already been impacted with the fortunate side client income for massage. I have tomorrow off and will do my total body weight lifting and not the cardio at that time. I am currently cooking soup or similar of the butternut squash soup Pacific brand, whole pkg about 4 1/4 cups with 1 pkg of the beyond meat because I liked it last time for the sweet taste it has and smell. I added about 3/4 the bag of green beans or about 8 cups of green beans according to the bag there are 11 cups of green beans in it, and 1 orange bell pepper and 1 green bell pepper. It smells good. I will have that for lunch and pack some for work on my break later today. I ate a grapefruit and an orange a little after having a bowl of the soup, took a nap, and at work had a grapefruit before work, then on my break the bowl of soup packed and an orange. On my break went to Target for AAA batteries for my calculator and D batteries for the light sensors outside and a bottle of red blend Josh wine. Tired. I had 2 no shows that were return clients but not regularly booked with me like every 1-2 weeks, they were confirmed on Valentine's Day the day before the appointment. When I got home, early because the last one wasn't booked, and also Regina left her trash in the Rm 8. Was going to leave it for her, but changed it instead. It is annoying to go into a room and have that but at least the room was available, didn't  matter because the first client was late 15 minutes and paid before hand for the additional 1/2 hour. She is a nice lady, most all are. I had a new guy the last one I was booked at 8 pm, and all had a history of sciatic pain symptoms except for the 3rd one that was a no show. I honestly do not like massaging new guys to me and ones that either went to various locations from the notes or have no notes or that walk in or book last minute. But whatever, its alright. He tried to pull a Karen on me when I told him it was over by asking my name and then not repeating it right. He said Low back and legs and ft only, so after 50 minutes thats it. Plus his nose kept running and grossing me out with his sniffling. Was in a meh mood because of sitting around a few hours, but at least I got paid the service commission for the 2 no shows. I got home and was tired, but haven't been drinking much water. I had a cup of the tea from Marshalls the beach bellisimo fruit one on my break at work, and might be why I was tired, but I just seeped it in the cup of water without warming it up. At home I felt like I would have a BM but like it would be constipation. I went to bed at 10:30 pm, and then woke up at 1130 pm to have a BM, but I will include that in tomorrow's BM count. It was a constipated one like some still in the rectum that had to wait till the next BM. I need to drink more water.</t>
  </si>
  <si>
    <t>Tea-Beach Bellisimo caffeine free Teavana Starbucks brand, 1 tea bag serving</t>
  </si>
  <si>
    <t xml:space="preserve">1 pear (57	0	0	0	15	3	1)
2 bowls of butternut squash/greenbean/bell peppers/beyond meat soup
(778.5   44	12	50.5	51	16	971)
2 tbsp Daisy sourcream
(60	5	3.5	1	0	1	15)
1 slice of provolone cheese
(70	5	3	5	0	0	170)
2 oranges (81	0	0	2	21	4	2)
2 grapefruits (92	0	0	2	24	2	0)
beach bellisimo tea (5	0	0	0	1	0	0)
</t>
  </si>
  <si>
    <t>cabernet sauvignon Nutrition facts similar to Josh brand this is Winking Owl wine facts, serving size 5 oz, 1 cup is 8 oz , this is multiplied by 8/5</t>
  </si>
  <si>
    <t>cabernet sauvignon Nutrition facts similar to Josh brand this is Winking Owl wine facts, serving size 5 oz, 3/2 cup is 12 oz , this is multiplied by 12/5</t>
  </si>
  <si>
    <t>Krusteaz cornbread gluten free, 14 servings, 1 serving is 1/14</t>
  </si>
  <si>
    <t>Krusteaz cornbread gluten free, 14 servings, 1 serving is 1/14, 3/14 or 3 servings</t>
  </si>
  <si>
    <t xml:space="preserve">2 eggs scrambled with 
(140	10	3	12	0	0	140)
olive oil 2 tbsp and 
(120	14	2	0	0	0	0)
sourcream 2 tbsp Daisy brand last of it
(60	5	3.5	1	0	1	15)
2 corn tortilla (Guerrero Brand) with Winco low skim mozzarella shredded cheese and paprika
4 corn tortillas (200	  2	0	4	42	4	40)
1/2 cup mozzarella cheese (160	 10	7	12	2	0	380)
1 orange (81	0	0	2	21	4	2)
140+120+60+200+160+81
10+14+5+2+10+0
3+2+3.5+0+7+0
12+0+1+4+12+2
0+0+0+42+2+21
0+0+1+4+0+4
140+0+15+40+380+2
=======
1 bowl of butternut squash/beyond meat/green beans and peppers
(389.25   22	6	25.25	25.5	8	485.5)
2 tbsp sour cream Winco brand 
(60	5	3.5	1	2	0	15)
1 cup of red blend Josh cabernet
(195.2	0	0	0	6.4	0	0)
389.25+60+195.2
22+5+0
6+3.5+0
25.25+1+0
25.5+2+6.4
8+0+0
485.5+15+0
======
2 corn tortilla mozz quesadillas
4 corn tortillas Romero brand
(148	0	0	4	28	4	72)
1/2 cup mozzarella cheese
(80	5	3.5	6	1	0	190)
3/2 cups wine
(292.8	0	0	0	9.6	0	0)
+148+80+292.8
+0+5+0
+0+3.5+0
+4+6+0
+28+1+9.6
+4+0+0
+72+190+0
========
krusteaz cornbread
2 cornbread muffins, about 3 servings, 1 pkg is 14 servings
(330	1.5	0	6	75	3	930)
=======
</t>
  </si>
  <si>
    <t>Woke up to have a BM around 1130 pm after an hour of sleep, it was a solid constipated small BM, then went back to bed and woke up at 5 am approximately and laid in bed until 530 am, got up made the babies their food, my coffee, and had the rest of last night's BM also a solid reg size one. Together a lg BM, might be the Aldi's Happy Farm Cheese making it like that consistency, but also I haven't been drinking much water, only while working out, and that was only 1 bottle as it was cold during the workout and after. Took my measurements at 620 am. I tried the batteries I bought yesterday the AAA ones for my calculater, energizer brand but they make the screen dark and worse than the other batteries that are generic. So I put back in the generic ones. They cost me $10 just for those batteries too. I will see if changing the 3v battery will fix this problem but I need to buy that one too. Shortly after 6:45 am had a reg BM that feels like it cleared up the other solid waste hanging around the rectum with the normal vegetarian consistency/texture of my reg BMs. My courses in genetics and general chemistry AKA organic chemistry start this Thursday. I have been reading ahead and plan to do more today before lifting weights. No cardio today, I think I am just going to switch or alternate between cardio and weight lifting days. I have been so far, during the middle of this research. No menstruation yet but I usually get it before 28 days. Clearly, not sexually active and haven't been for years as digestion is only body function interested in for body conditioning and maintanence. So far no obvious changes in fibroid waistline changes, but all working out and using the waist trimmer have helped keep it compacted and small as I can look down and see my pubes. I couldn't about a few months ago, still not where they start but getting close. At least I am healthy and strong. Ate break fast a little after 7 am, with 2 eggs scrambled in 2 tbsp sourcream and cooked in 2 tbsp olive oil, and 2 corn tortilla quesadillas with the Guerrero brand tortillas and the Winco low skim mozzarella cheese. And an orange around 730 am. Read my chemistry notes. Read the chemistry notes but not all of them, got to the Gas/Pressure/Volume laws and equilibrium before that. Poured my 1st glass of wine by 10 am, but sipped it, its my day off, also had a bowl of the butternut squash beyond meat with green beans and 2 tbsp sourcream. It was delicious, shared with the babies of course and they loved it. They love my cooking. Talked to my admissions counselor at SCUHS about my application and determined by 11 am that I have intro to chemistry with lab, intro to physics with lab, principles of ecology-Biology with lab for 4+4+3=11 semester units, and will take general chemistry or organic chemistry with lab for 4 units, plus biology-genetics for 3 units this Spring and in summer take a science with lab like anatomy for 4-5 units because it is needed and another science like psycology/kinesiology/microbiology/chemistry for 3 or 4 units with or without lab so that I complete 24 total science requirements of 12 lab and 12 no lab needed for September program, with tuition 12.5k a trimester for 10 trimesters. Finished my glass of wine after speaking with him. I filled my coffee mug only half way for this glass of wine, so about a cup of wine. Its a Red Blend cabernet by Josh Vineyards. I read my notes some more with a 3rd cup of coffee around 1215 pm, but started feeling like I was going to have diarhea and increased body temperature and abdominal pains with digestion that isn't the good kind around 12:30. I went to the bathroom, but nothing came out, but my body started getting hot, I took off my waist trimmer started feeling hot and dizzy like a time when I ate green potatoes and a time years earlier when I think I had vertigo really bad. I took off my tight leggings and sweater too, went back to the bathroom, and curled into a baby and felt the cold on my hands and my neck agaisnt the tub and wall and felt better and relieved, lied on my back on the cold floor and felt adbominal movement and saw my belly extended up. I had a large BM that was more than half diarhea. And my body temperature went down, I used cold water running and left running before crawling into a ball on the floor. I turned off the water and felt like my belly was bloated. My body temperature felt normal as I am typing this at 1245 pm a few minutes afterwards. Keeping my clothes off. Not sure why I am sick, The two clients I massaged yesterday both had their vaccines, the first one had both and the one yesterday was 2 weeks from the 1st one and gets his 2nd one next week. Maybe I picked up some antigens from him, his nose was running and sniffling in that appointment. It could also be drinking coffee after wine less than an hour or about an hour after drinking the wine. I felt completely fine 5 minutes before drinking the coffee and reading my notes. Might not work out today after all, unless I feel better. I have to drink the 3rd cup of coffee to avoid the headache I get when I don't. It is painful. That went away, finished my coffee 20 minutes later cold, and then ate 2 corn tortilla (Romero brand) quesadillas with mozzarella cheese (Winco brand) and paprika and basal. Then finished the last of the intro to chemistry notes with radiation and a final exam review I didn't work out the example problem follow throughs. The radiation and nuclear energy discussed the half life and the positrons, gamma rays as energy, alpha and beta particles. Before that was acids and bases and hydronium and hydroxide atoms for the pH scale and finding if a solution is acidic or basic. Before that was boiling point and freezing point. Then decided not to workout because I was sick, and the roommate is talking his shit getting fired up like a stupid Trump Red World minion. He is such an idiot loser. So fortunate he is a nameless loser that stays low key about his dumb beliefs. Was finishing up my notes listening to him talk shit about politicians that are democrats and stupid shit. Puts me in a foul mood, turned on R&amp;B on spotify to drown it out. He just asked why. So funny. Because I am typing with him in another room and have been playing R&amp;B for 20 minutes. So no workout today, tomorrow after work, the weight lifting. Don't want to stress my body out too much. I finally made the Krusteaz cornbread that has been on the counter for more than a week because too tired or had other plans than making it. Used all the ingredients, but used almond milk instead of milk. My coordination is off, only had another wine, on my last wine right now about a cup and a half, the end of the bottle. I don't feel drunk, but lately this has been happening with me misjudging things, like pushing a cup full of coffee over, running into the door frame, or a chair, or dropping a raw egg off the counter even though I rested it on a pad. Thats what happened. I haven't eaten any yet. But will with a bowl of the butternut squash beyond meat and green beans. I was surprised to find out my chemistry course started today, when I checked web advisor numerous times before it said on Thursdays around the afternoon and evening for the lab and didn't mention Tuesdays. Luckily I checked, because she has a strict no show policy in place and daily assignments due on time or risk being dropped. I did a couple assignements on the syllabus and looked over the modules on navigating the class. I also checked into the genetics course. Tired. Bed time around 1030 pm. Dehydrated, going to drink water, finished the other 2 glasses of wine I already tracked earlier and am now dehydrated. I have work tomorrow at 9 am. Note that the Krusteaz cornbread has a lot of carbs to fiber and will be marked as processed sweets a 0 for not avoided.</t>
  </si>
  <si>
    <t xml:space="preserve">upper abs cable 10 reps each side in 3 sets 25 lbs 	
lower abs with cable 25 lbs leg lifts each side 	
standing abducturs outer thighs 3 sets 6-8 reps 25 lbs	
standing adductors inner thighs 3 sets 6-8 reps 25 lbs	
squats 3 sets 10 reps barbell 45 lb + 50lbs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</si>
  <si>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 xml:space="preserve">hamstrings +5 </t>
  </si>
  <si>
    <t>Aldis brand Red Fennel Rotini noodles 4 servings</t>
  </si>
  <si>
    <t>Bertolli Vineyard Marinara sauce, 5 servings</t>
  </si>
  <si>
    <t>Red Fennel Rotini Pasta with green beans and vineyard marinara 1 pot makes 4 bowls</t>
  </si>
  <si>
    <t>2 cornbread muffins (330	1.5	0	6	75	3	930)
1 grapefruit (92	0	0	2	24	2	0)
2 cornbread muffins (330	1.5	0	6	75	3	930)
1 grapefruit (92	0	0	2	24	2	0)
2 cornbread muffins (330	1.5	0	6	75	3	930)
2 oranges (162	0	0	4	42	8	4)
1 bowl of red fennel rotini pasta with vineyard marinara sauce and green beans
(472.5	  3.75	  0	31.5	79.5	9	453.75)
1/4 cup low skim shredded mozzarella
(80	5	3.5	6	1	0	190)
2 tbs parmesan cheese Winco brand 
(20	1.5	1	2	0	0	100)
=330*3+92*2+162+472.5+80+20
=1.5*3+0*2+0+3.75+5+1.5
=0*3+0*2+0+0+3.5+1
=6*3+2*2+4+31.5+6+2
=75*3+24*2+42+79.5+1+0
=3*3+2*2+8+9+0+0
=930*3+0*2+4+453.75+190+100
====================================</t>
  </si>
  <si>
    <t>Woke up at 530 am by alarm and got up in the middle of the night around 1145 pm to pee and feed the outdoor cat then went to bed without laying in bed a while. Made my cup of coffee, took measurements, and started reading the documents needed for Chemistry 1A on being prepared for lectures and labs by reading and writing lab procedures before the class begins. Everything is zoom. I will need to make sure I can keep the roommate from his cursing and griping antics earlier in the day with his daily routing in the afternoon when he gets up or go out side and use the outdoor gym to watch the lectures and note take. Had a reg BM after 1st cup of coffee and measured waistline at 31 5/8" and fibroid waistline at 32 3/4". I had a couple cornbread muffins and a grapefruit after 7 am and my 2nd cup of coffee before that when the roommate came home. Reviewed the Chemistry 1A documents and looked at the dashboard course on the canvas web access. Yesterday I also cut about 4 inches off my hair before 10 am or before getting sick. It was in 2 french braids and they were stringy and thin, so I just cut them as is from the bottom to my collarbone. It will look choppy. At work slow, with 2-3 massages not booked in the middle, but got to read the full chapter 1 of my chemistry 1 A reading. Ate 4 cornbread muffins, 2 grapefruit, and 2 oranges. I would have done laundry at least to help and disinfect, but it smelled terrible like rotten eggs, or a dump truck with rotten eggs. Like someone farted and eggs were eaten by them or cooked a raw egg in the microwave. It wasn't pleasant. So stayed in my massage room and read chapter 1, it took about 2-2 1/2 hours to read the full chapter. I have energy to workout, yay! Going to lift weights only. I feel fine, don't feel sick. I had my 3rd cup of coffee in my slow/empty hours at work with my cornbread also. I didn't use their keurig, but my instant coffee, because I brought it with me. I started my workout a few minutes after 4 pm and ended with the stretches a few minutes after 5 pm with all 20 exercises in 3 sets of 6-12 reps depending on how heavy the weight was. I am making the Aldi brand rotini red fennel pasta with the vineyard marinara sauce and only added green beans and will likely add cheese to it in each bowl I make for myself. Went to bed at 9:45 after watching the recorded lecture on her OneNote notes on the first part of Chapter One-Molecules and Atoms.</t>
  </si>
  <si>
    <t xml:space="preserve"> 2/18/2021</t>
  </si>
  <si>
    <t>Woke up at 2:30 am, cleaned up dog poo and pee, went to bed no problem, woke up at 510 am and laid in bed until 530 am. Got up. Plan on watching the recorded lab from Tue Chemistry 1A before my first genetics course at 9 am. Had a reg BM after drinking some water and making my 1st cup of coffee and after feeding the babies. Then took measurements at 545 am. The roommate was in his car blocking the alley from the time I got up until right before having a BM for the day. Said he was gathering his thoughts. Started the recorded lab and took notes of important items. Had another BM when starting my 2nd cup of coffee around 615 am. About 45 minutes later had another small BM, totalling 3 BMs today. Went over the lab notes that ended up being lecture notes, but still have an hour left of those. I then logged into genetics, but her system is a prerecorded one, with Q&amp;A on Thursday weekly meetings. Did the first part of that section and waiting for the 2nd half, she has a fill in the blank participation to follow through her notes. A lot of handwriting for me. I need printer paper and possibly ink to print out the notes, or see about another way. I took my compression socks off from the itching in my legs either from hair growing in or stress. I don't feel that stressed, but its closer to menstruation, and ankles were starting to swell even with socks on right at the feet and sides of ankles outer ankle not inner. This was at about 12 or 1 pm. So I marked a 0 for compression socks. Viewed and took notes on the last 1 1/2 hours remaining of the chemistry 1A lab video from Tuesday from about 12 -2 pm, then log into canvas to participate in the lecture and later the lab from 3-430 then 6-910 pm. Breakfast was around 8 am and it was a bowl of the rotini pasta with 1/4 cup mozzarella cheese, 2 tbs sourcream and 2 tbs parmesan cheese and an orange, lunch was 2 fried eggs and 2 corn tortilla and mozzarella cheese quesadillas and another orange. Fried in olive oil around 11 am. Had 3rd cup of coffee instant at 1215 pm. Finished notes on recorded lecture on Chemistry 1A and ate another bowl of rotini pasta with 2 tbs sourcream, 2 tbs parmesan cheese, and 1/2 cup mozzarella cheese and an orange. On my break made last of 4 cornbread muffins with honey warmed in microwave only ate 2 gave rest to pups. Went to bed at 9:45 pm and had 1/2 slice of provolone cheese about 10 minutes before bed shared other half with the babies.</t>
  </si>
  <si>
    <t xml:space="preserve">2 bowls of rotini green beans 1 serving
(945	7.5	0	63	159	18	907.5)
4 tbsp sourcream
(120	10	7	2	0	2	30)
4 tbs parmesan cheese 
(40	3	2	4	0	0	200)
4 corn tortillas Romeros
(72	0	0	2	14	2	36)
5/4 cup mozzarella cheese
(100	6.25	4.375	6	1.25	0	237.5)
2 eggs
(140	10	3	12	0	0	140)
2 tbs olive oil
(120	14	2	0	0	0	0)
3 oranges
(243	0	0	6	63	12	6)
2 muffins
(220	4	0	4	50	2	620)
1 tbsp honey
(60	0	0	0	17	0	0)
=945+120+40+72+100+140+120+243+220+60
=7.5+10+3+0+6.25+10+14+0+4+0
=0+7+2+0+4.375+3+2+0+0+0
=63+2+4+2+6+12+0+6+4+0
=159+0+0+14+1.25+0+0+63+50+17
=18+2+0+2+0+0+0+12+2+0
=907.5+30+200+36+237.5+140+0+6+620+0
1/2 provolone sliced cheese
(35   2.5   1.5   2.5   0   0   85)
+35	+2.5	+1.5	+2.5	+0	+0	+85
</t>
  </si>
  <si>
    <t xml:space="preserve">The number of days since menstruation first started of the last menstruation. This is to track if any hormonal changes take place that add to extended belly or bloat during menstruation or shedding of the uterine lining of estrogen and progesterone after the ovary is determined to not be fertilized, how long the menstruation lasts.A 0 is for the initial day the spottiness of menstruation starting noticed, then each day there after is the number of days since the last menstruation cycle started. This is useful in seeing the bloat using the UL_2knucklesBelowBellyButton feature to see changes. The hormones are supposed to start with estrogen to strengthen the uterus about 3 weeks before the ovary drops for two weeks, then progesterone a week before makes the uterine lining even stronger for a fertilized ovum to attach and if not, then the uterine lining of progesterone and estrogen sheds causing the spottiness, gradual increase in fluid amount of blood loss from light, to medium-light, to medium, to heavy, to medium, to light and then spotty and done. </t>
  </si>
  <si>
    <t>Were you menstruating or shedding the uterine lining? A 0 is for no and a 1 is for yes.</t>
  </si>
  <si>
    <t>Woke up at 510 am and got out of bed at 520 am, made my coffee and fed the babies, prepared coursework for assignments once logging onto canvas, and took measurements by 5:45 am. Had a lg BM around 6 am and saw that I am spotty. I didn't notice any spotty mensa when waking up earlier and peeing, but it is, so today is day 1 of shedding the uterine lining. Probably why my ankles seem more swollen and a bruise on my side of my leg from who knows where? I know my chihuahua steps on me in the night and her tiny paws carry a lot of pressure with her heavy weight for her size. She isn't over weight just 12 pounds instead of 10 pounds. I noticed the bruise a few days ago and its about the size of her paw. Including this day it was 27 days from the start of the last menstruation to the start of this menstruation cycle. The waistline measurements and fibroid waistline measurements don't show any additional bloating and slightly smaller than yesterday's measurements, but I did wait a while before my last meal before bed time except for that 1/2 a slice of provolone cheese. I measured the waistline at 31 1/2" and the fibroid waistline at 33 1/2" after my BM about 10 minutes ago. That is about the same as the measurements 15 minutes before that time. Except that the fibroid waistline is 1/2" more. I will change the measurement to 33 1/2." Because I didn't notice the spotting before taking those measurements earlier and did notice it after having my BM. This could be attributable to menstruation bloat. Worked on some of the first homework assignment for Chemistry 1A and got to 2/15 parts or sections. It is due tonight. This could interfere with my workout. At work was fully booked, on my lunch break ate 3 corn tortilla quesadillas with provolone cheese slices 5 total with paprika and basal herb spices and had my 3rd cup of coffee an hour before that between sessions using the office keurig coffee and went to get some printer paper for the printer. Pulling into the parking lot of work, a cop car pulled in after me after circling Grand and back with lights on and saw some guy with hands on the hood of his car and another one pull in, but the other cop told the other cop car to pull over somewhere else and park. Don't know what that was but it was a scene the front was looking at when I walked in, right behind my work truck with advertisements on it for massage. After work I got some fruit of bananas, apples, oranges, pears, and some avocados. I originally planned for 530, but I have to finish that Chemistry 1A homework, and the parts are long to read so it could take a while. Since it is due tonight I will work on it now. Just before 530. After work I had a banana, an orange, finished the homework that actually took 80 minutes. Then had 1 reg sized avocado, 2 tbs sourcream mixed together with 2 corn tortilla quesadillas with mozzarella cheese paprika and basal. It was dark and I was tired plus my menstruation is heavy and will be soon, so need my iron as much as I can keep in my blood. Feeling tired. No workout tomorrow. See how tomorrow goes. Bed time by 830 pm. Plan to wake by 530 am, because I have to leave by 720 am at the latest for Saturday shift of mine.</t>
  </si>
  <si>
    <t>1 bowl of red fennel rotini pasta with vineyard marinara sauce and green beans
(472.5	  3.75	  0	31.5	79.5	9	453.75)
1/4 cup low skim shredded mozzarella
(80	5	3.5	6	1	0	190)
2 tbsp sourcream
(60	5	3.5	1	0	1	15)
1 mango
(107	0	0	1	28	3	3)
1 pear
(57	0	0	0	15	3	1)
6 corn tortillas Romero brand last of bag
(216	0	0	6	42	6	108)
5 slices of provolone Aldis Happy Farmes brand
(350	25	15	25	0	0	850)
1 banana
(105	0	0	1	27	3	1)
1 orange
(81	0	0	2	21	4	2)
4 corn tortillas Guerrero brand
(200	2	0	4	42	4	40)
1/2 cup mozzarella low skim cheese Winco brand
(160	10	7	12	2	0	380)
1 avocado
(322	29	4	4	17	18	14)
=472.5+80+60+107+57+216+350+105+81+200+160+322
=3.75+5+5+0+0+0+25+0+0+2+10+29
=0+3.5+3.5+0+0+0+15+0+0+0+7+4
=31.5+6+1+1+0+6+25+1+2+4+12+4
=79.5+1+0+28+15+42+0+27+21+42+2+17
=9+0+1+3+3+6+0+3+4+4+0+18
=453.75+190+15+3+1+108+850+1+2+40+380+14
=======</t>
  </si>
  <si>
    <t>Gluten free spaghetti/beyond meat/orange bell/green bell/prego 4 cheese sauce 4 servings/whole pot</t>
  </si>
  <si>
    <t>Prego 4 cheese pasta sauce, 5 servings per jar,1 serving</t>
  </si>
  <si>
    <t>gala apple (calorieking.com)</t>
  </si>
  <si>
    <t>1 bowl gluten free spagh/beyond/orangePepp/greenPepp/Prego4</t>
  </si>
  <si>
    <t>Woke up at 230 am to pee, still spotty menstruation, but when going back down it started to flow more to medium. Got up at 445 am and laid in bed after going back to bed. Got out of bed at 520 AM. Medium flow for now. Had my cup of coffee then a lg BM and then took my measurements by 615 am after making my 2nd cup of coffee. Ate my breakfast by 630 am, 1 fried egg, the last because I didn't get more, half an avocado with 1 tbs sourcream, and 2 corn tortilla quesadillas with mozzarella cheese and paprika. For lunch and when I got to work, had an orange, the other half of avocado with 1 tbs sourcream and 2 corn tortilla quesadillas I made at home with paprika, a banana, and a pear. After work an apple. Worked out at 330 pm with only cardio kickboxing for 45 minutes. Then I made some gluten free spaghetti from Barilla brand with beyond meat 1 pkg and 1 yellow/orange bell pepper and 1 green bell pepper and the Prego Italian 4 cheese sauce. I had one bowl of it with 1/3 cup mozzarella cheese. It makes about 4 servings. I always share with my babies, so probably eat my serving. Went to bed at 810 pm but fell asleep around 830 pm.</t>
  </si>
  <si>
    <t xml:space="preserve">4 corn tortilla and mozzarella quesadillas
8 corn tortillas Guerrero brand
(400	4	0	8	84	8	80)
1/2 cup mozzarella cheese
(160	10	7	12	2	0	380)
1 egg (140	10	3	12	0	0	140)  1 avocado(322	29	4	4	17	18	14)
2 oranges
(162	0	0	4	42	8	4)
1 banana
(105	0	0	1	27	3	1)
1 pear
(57	0	0	0	15	3	1)
1 gala apple
(62	0.1	0	0.3	14.9	2.5	0)
1 bowl/serving of gluten free beyond meat spaghetti with Prego 4 cheese sauce
(551.6875	20.875	5.625	26.625	63.75	4.5	950.125)
1/3 cup mozzarella cheese
(106.7	  6.7	4.7	8	1.3	0	253.3)
=400+160+162+105+57+62+551.7+106.7
=4+10+0+0+0+0.1+20.9+6.7
=0+7+0+0+0+0+5.6+4.7
=8+12+4+1+0+0.3+26.6+8
=84+2+42+27+15+14.9+63.8+1.3
=8+0+8+3+3+2.5+4.5+0
=80+380+4+1+1+0+950.1+253.3
</t>
  </si>
  <si>
    <t xml:space="preserve">3 oranges
(243	0	0	6	63	12	6)
1 banana
(105	0	0	1	27	3	1)
1 bowl/serving of gluten free beyond meat spaghetti with Prego 4 cheese sauce
(551.6875	20.875	5.625	26.625	63.75	4.5	950.125)
1/3 cup mozzarella cheese
(106.7	  6.7	4.7	8	1.3	0	253.3)
(322	29	4	4	17	18	14)
1 egg
(140	10	3	12	0	0	140)
1 bowl/serving of gluten free beyond meat spaghetti with Prego 4 cheese sauce
(551.6875	20.875	5.625	26.625	63.75	4.5	950.125)
2 tbs parmesan cheese
(20	1.5	1	2	0	0	100)
1 bowl/serving of gluten free beyond meat spaghetti with Prego 4 cheese sauce
(551.6875	20.875	5.625	26.625	63.75	4.5	950.125)
1/3 cup mozzarella cheese
(106.7	  6.7	4.7	8	1.3	0	253.3)
=243+105+551.7+106.7+322+140+551.7+20+551.7+106.7
=0+0+20.9+6.7+29+10+20.9+1.5+20.9+6.7
=0+0+5.6+4.7+4+3+5.6+1+5.6+4.7
=6+1+26.6+8+4+12+26.6+2+26.6+8
=63+27+63.75+1.3+17+0+63.75+0+63.75+1.3
=12+3+4.5+0+18+0+4.5+0+4.5+0
=6+1+950.1+253.3+14+140+950.125+100+950.1+253.3
</t>
  </si>
  <si>
    <t>Woke up at around 430 am and laid in bed until 520 am. I got up at 2 am to change my pad from heavy menstruation and again around 330 am and fell asleep until about 430 am. After getting up at 520 am, cleaned up pet messes, made the babies their food and my coffee, practiced SQL by reviewing my notes on it because I have an interview for a data engineer job that uses it tomorrow morning. But also have a worksheet in chemistry 1A due tonight before midnight and I work until 3 pm today. Not sure if I will lift weights today, I will see how long the worksheet takes, to write in notes and to use the adobe scanner app to upload to the canvas site. I also reviewed what I know on Azure last night from my large scale data storage systems with using Hive in Ambari for Azure and uploading csv files into it after creating a cloud vm. Had a regular sized BM and then took my measurements while drinking my 2nd cup of coffee and the roommate came home at that time. Had breakfast at 7 am a bowl of the spaghetti from yesterday and an orange and a banana with 1/3 cup mozzarella cheese on the spaghetti. Packed a bowl of spaghetti for lunch with 1 avocado chopped inside and a banana and 2 oranges. Planning on using the parmesan cheese in the car 2 tbs of it. I only ate 2 oranges but ate everything packed other than 1 orange. Then noticed on my break when looking in the mirror that I had age spots or dark sun spots on my left side of my nose. I bought the PCA pipmentation corrector with 40% discount at ME and then went to Marshall's and got their regenerist by oil of olay day and night cream, a face wash by simple 100% soap free 5 oz cucumber or green color and a spf 30 sunscreen to put on my face. Going to finish the worksheet and turn it in with the app right now at 4 pm. Due by 11:59 pm. Ate the 3rd orange before starting the rest of the ch1 worksheet and finished it about 3 1/2 hours later including taking images of it in Adobe Scan on my phone, saving as 1 pdf file, emailing to myself, downloading from my email, and uploading to canvas by 730 pm. Then I made a bowl of the last of the spaghetti with 1/3 cup mozzarella cheese and shared with the babies of course. Got a return client who was vaccinated her 2 times and ready to start weekly appointments, right before my 3 pm Tue Lecture, but should be back home on time to start the lecture. I then reviewed some more of my postgres SQL commands and feature functions before going to bed just before 9 pm. No workout today, and probably not for a few days, because onto a new week of reading and lectures and operating the side business and full time employment. I will have to break down my workouts into less weight lifting and probably just cardio once a week and weight lifting 3 times a week however much can be fit like a couple sets of the list of workouts for 30 minutes or something. So I can stay in shape.</t>
  </si>
  <si>
    <t>bertolli alfredo sauce 7 servings 1/4 cup</t>
  </si>
  <si>
    <t>barilla gluten free fetuccini noodles 6 servings 2 oz</t>
  </si>
  <si>
    <t>Fettucin/beyondMeat/red&amp;GreenPeppers/oliveOil4tbs/leeks/BertolliAlfredoSauce 1 pot</t>
  </si>
  <si>
    <t>1 bowl fettuciniAlfredo</t>
  </si>
  <si>
    <t xml:space="preserve">4 corn tortillas Guerrero brand
(200	2	0	4	42	4	40)
1/2 cup mozzarella cheese
(160	10	7	12	2	0	380)
banana
(105	0	0	1	27	3	1)
2 oranges
(162	0	0	4	42	8	4)
bowl of fettucini makes 5 bowls
(679.4	38.4	13.7	26	63.5	5.2	862)
2 tbs parmesan cheese
(20	1.5	1	2	0	0	100)
1/2 bowl of fettucini
(339.7	19.2	6.85	13	31.75	2.6	431)
1 tbs parmesan cheese
(10	0.75	.5	1	0	0	50)
1/2 small avocado
(161	14.5	2	2	8.5	6.5	7)
1 grapefruit
(92	0	0	2	24	2	0)
=200+160+105+162+679.4+20+339.7+10+161+92
=2+10+0+0+38.4+1.5+19.2+0.75+14.5+0
=0+7+0+0+13.7+1+6.85+.5+2+0
=4+12+1+4+26+2+13+1+2+2
=42+2+27+42+63.5+0+31.75+0+8.5+24
=4+0+3+8+5.2+0+2.6+0+6.5+2
=40+380+1+4+862+100+431+50+7+0
</t>
  </si>
  <si>
    <t>Woke up at 330 am and changed menstruation pad then laid back down in bed slept till 430 am and then laid in bed until 445 and got out of bed and ready. Fixed the babies' food no messes to clean because the roommate got them during the night, and made my coffee. Reviewed driving instrucitons and JD of 9am interview in Irvine. Had a lg BM before my 2nd cup of coffee. Showered after eating a banana then 10 minutes later 2 corn tortilla quesadillas with mozzarella cheese. The roommate said he has been feeling nausious lately since last night. I went to the interview leaving at 815 am and got there right on the dot at 9 am through the parking structure and ringing the doorbell at the 2nd floor of the right building. Went by fast and the 2 dudes Tim and John were very nice and asked the standard data science questions for the data engineer job. Along the lines of what you liked and didn't like about last job, your strengths and weaknesses, where I see my self in the next 5 years, and for data questions about modeling, primary function I would suppose is in required for this job, describe handling data objects like validation and cloud and database management experience, etc. I will see how that went. Looks like a cool building a whole floor of call center and tasks associated with this 4 year old business. I then went to Whole Foods and spent $18 and some change on exactly 6 lg grapefruits, 6 large naval organic oranges, and 2 organic regular sized avocados. Then I went to the Winco in Norco and got some groceries and household goods, came home around 1130 am and made a pot of leeks chopped up about 1/3 cup fresh not much of the white leek showing on the stocks but cheap at under $2 the bushel, and a red and green bell pepper, 1 pkg of beyond meat 4.5 servings and 1 package of the Barilla brand gluten free fettucini noodles 6 servings with the Bertolli Alfredo sauce 7 servings and 4 tbs olive oil to cook the plant based meat and veggies in before adding the pasta sauce to simmer while noodles cooking. I had one of the large oranges from whole foods before preparing the pot of fettucini.I had a bowl with 2 tbs parmesan cheese, it is very heavy. The calories are ridiculous. At work not slow, only 1/2 hour not booked, made a bowl of pasta but it was too heavy and filling to eat the whole bowl with a whole avocado and 2 tbsp parmesan cheese in, so I ate half of it and saved the rest for the babies at home, but only Growly ate some. I also had one of those Whole Foods grapefruits and an orange and the orange tasted the same, but the grapefruit was really good and sweet. A ruby red. Worked on my ch1 homework due today before midnight before work, at work on my phone and in the car on my break and the last questions at home. Sig Figs and conversion factors mostly. Turned it in on time but its automated with every question answered using the Pearson Mastering Lab homework. Tired. Bed by 12 am. Did my face skin routine before bed and started that last night and continued this morning before work.</t>
  </si>
  <si>
    <t xml:space="preserve">Woke up at 6 am and got out of bed at 630 AM. Made my coffee and fed the babies, the roommate just got home at 6 am and cleaned their pet messes. After my coffee had a lg BM then took my measurements. Made my 2nd coffee before taking the measurements. I was reviewing the chemistry lab procedures before my BM because the prelab questions have to be answered before the lap at 6 pm and also I want to do all of the lab technique write down in the lab manual which is required and answer the questions before my 1 pm client in Norco until about 215-220 pm after disinfecting and packing up supplies. Should get home right before 3 pm when lecture starts. Completed the prelab questions by using word instead of printing and adobe app scanning into the upload. Only 2 questions. But I need to write down the lab procedures for 2 parts in my lab notebook and will have to take photos with adobe scan app to upload. I don't recall/remember if we also do that before class starts to show the procedure is written in the notebook before the lab begins or after we complete the lab. I will have to look that up. Ate a grapefruit for breakfast. Then had a third of the fettucini with 3/4 avocado because 1/4 of it was black already or dark by 9 am. Then starting writing the lab procedures for this week's lab into my notebook. Went to my appointment and she paid for this massage in February, and for the monthly membership's weekly massages for all of March except for the 9th. Note to change to 12 pm from 1 pm. Very nice lady. Got back on time to put the linens in and supplies in wash, and prepare for 3-430 pm lecture. While watching lecture had 1/2 bowl of pasta with 2 tbs parmesan cheese towards the end, but my babies wanted some and I shared but wanted more pasta, so made the rest of the pasta about a full bowl with about 3 tbs pasta and then worked on the SOAP notes and receipt for client and took a break until lab at 6 pm. Lecture ended around 430 pm. I had a cup of 1 tbsp cocoa powder with 1 tbs honey in  1 1/2 cups almond milk warmed up on break. Didn't eat anything else the rest of the night, did dishes on break during lab at 725-745. Went to bed after face routine. </t>
  </si>
  <si>
    <t>grapefruit 
(92	0	0	2	24	2	0)
1/3 bowl of fettucini
(226.47	12.80	4.57	8.67	21.17	1.73	287.33)
3/4 avocado
(241.5	21.75	3	3	12.75	13.5	10.5)
1/2 bowl of fettucini
(339.70	19.20	6.85	13.00	31.75	2.60	431.00)
2 tbs parmesan cheese
(20	1.5	1	2	0	0	100)
1 orange
(81	0	0	2	21	4	2)
1/2 bowl of fettucini
(339.70	19.20	6.85	13.00	31.75	2.60	431.00)
2 tbs parmesan cheese
(20	1.5	1	2	0	0	100)
1 bowl of fettucini
(679.4	38.4	13.7	26	63.5	5.2	862)
2 tbs parmesan cheese
(20	1.5	1	2	0	0	100)
2 tbs cocao 
(20	1	0	2	6	2	0)
1 tbs honey
(60	0	0	0	17	0	0)
1 1/2 cups almond milk
(60	4.5	0	1.5	3	1.5	270)
=92+226.47+241.5+339.7+20+81+339.7+20+679.4+20+20+60+60
=0+12.8+21.75+19.2+1.5+0+19.2+1.5+38.4+1.5+1+0+4.5
=0+4.57+3+6.85+1+0+6.85+1+13.7+1+0+0+0
=2+8.67+3+13+2+2+13+2+26+2+2+0+1.5
=24+21.17+12.75+31.75+0+21+31.75+0+63.5+0+6+17+3
=2+1.73+13.5+2.6+0+4+2.6+0+5.2+0+2+0+1.5
=0+287.33+10.5+431+100+2+431+100+862+100+0+0+270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</si>
</sst>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name val="Calibri"/>
      <family val="2"/>
      <scheme val="minor"/>
    </font>
    <font>
      <sz val="9"/>
      <color indexed="81"/>
      <name val="Tahoma"/>
      <family val="2"/>
    </font>
    <font>
      <b/>
      <sz val="9"/>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18">
    <xf numFmtId="0" fontId="0" fillId="0" borderId="0" xfId="0"/>
    <xf numFmtId="2" fontId="0" fillId="0" borderId="0" xfId="0" applyNumberFormat="1" applyAlignment="1">
      <alignment horizontal="center"/>
    </xf>
    <xf numFmtId="2" fontId="0" fillId="0" borderId="0" xfId="0" applyNumberFormat="1" applyAlignment="1">
      <alignment horizontal="center" vertical="top"/>
    </xf>
    <xf numFmtId="0" fontId="0" fillId="0" borderId="0" xfId="0" applyFill="1"/>
    <xf numFmtId="1" fontId="0" fillId="0" borderId="0" xfId="0" applyNumberFormat="1" applyFill="1"/>
    <xf numFmtId="2" fontId="0" fillId="0" borderId="0" xfId="0" applyNumberFormat="1" applyFill="1" applyAlignment="1">
      <alignment horizontal="center"/>
    </xf>
    <xf numFmtId="2" fontId="0" fillId="0" borderId="0" xfId="0" applyNumberFormat="1" applyFill="1" applyAlignment="1">
      <alignment horizontal="center" vertical="top"/>
    </xf>
    <xf numFmtId="1" fontId="0" fillId="0" borderId="0" xfId="0" applyNumberFormat="1" applyFill="1" applyAlignment="1">
      <alignment horizontal="center" vertical="top"/>
    </xf>
    <xf numFmtId="14" fontId="0" fillId="0" borderId="0" xfId="0" applyNumberFormat="1" applyFill="1"/>
    <xf numFmtId="18" fontId="0" fillId="0" borderId="0" xfId="0" applyNumberFormat="1" applyFill="1"/>
    <xf numFmtId="0" fontId="0" fillId="0" borderId="0" xfId="0" applyFill="1" applyAlignment="1">
      <alignment wrapText="1"/>
    </xf>
    <xf numFmtId="2" fontId="0" fillId="0" borderId="0" xfId="0" applyNumberFormat="1" applyFill="1"/>
    <xf numFmtId="2" fontId="0" fillId="0" borderId="0" xfId="0" applyNumberFormat="1" applyFill="1" applyAlignment="1">
      <alignment horizontal="center" wrapText="1"/>
    </xf>
    <xf numFmtId="0" fontId="0" fillId="0" borderId="0" xfId="0" applyFill="1" applyAlignment="1">
      <alignment horizontal="left" vertical="top"/>
    </xf>
    <xf numFmtId="1" fontId="0" fillId="0" borderId="0" xfId="0" applyNumberFormat="1" applyFill="1" applyAlignment="1">
      <alignment horizontal="left" vertical="top"/>
    </xf>
    <xf numFmtId="2" fontId="0" fillId="0" borderId="0" xfId="0" applyNumberFormat="1" applyFill="1" applyAlignment="1">
      <alignment horizontal="left" vertical="top"/>
    </xf>
    <xf numFmtId="0" fontId="0" fillId="0" borderId="0" xfId="0" applyAlignment="1">
      <alignment horizontal="left" vertical="top"/>
    </xf>
    <xf numFmtId="2"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D181"/>
  <sheetViews>
    <sheetView tabSelected="1" zoomScale="85" zoomScaleNormal="85" workbookViewId="0">
      <pane ySplit="1" topLeftCell="A34" activePane="bottomLeft" state="frozen"/>
      <selection activeCell="O1" sqref="O1"/>
      <selection pane="bottomLeft" activeCell="D42" sqref="D42"/>
    </sheetView>
  </sheetViews>
  <sheetFormatPr defaultRowHeight="15" x14ac:dyDescent="0.25"/>
  <cols>
    <col min="1" max="2" width="17.7109375" style="3" customWidth="1"/>
    <col min="3" max="3" width="16.28515625" style="3" customWidth="1"/>
    <col min="4" max="4" width="10" style="3" customWidth="1"/>
    <col min="5" max="5" width="21.5703125" style="4" customWidth="1"/>
    <col min="6" max="9" width="32.5703125" style="3" customWidth="1"/>
    <col min="10" max="10" width="9.140625" style="3"/>
    <col min="11" max="11" width="25.5703125" style="3" customWidth="1"/>
    <col min="12" max="12" width="25.5703125" style="11" customWidth="1"/>
    <col min="13" max="13" width="28.5703125" style="11" customWidth="1"/>
    <col min="14" max="14" width="34" style="11" customWidth="1"/>
    <col min="15" max="16" width="32" style="11" customWidth="1"/>
    <col min="17" max="17" width="26.85546875" style="11" customWidth="1"/>
    <col min="18" max="18" width="29.85546875" style="11" customWidth="1"/>
    <col min="19" max="19" width="31.7109375" style="11" customWidth="1"/>
    <col min="20" max="20" width="22.5703125" style="11" customWidth="1"/>
    <col min="21" max="21" width="22.28515625" style="11" customWidth="1"/>
    <col min="22" max="22" width="19.28515625" style="11" customWidth="1"/>
    <col min="23" max="23" width="16.7109375" style="11" customWidth="1"/>
    <col min="24" max="24" width="21.7109375" style="11" customWidth="1"/>
    <col min="25" max="25" width="20" style="11" customWidth="1"/>
    <col min="26" max="27" width="21.5703125" style="3" customWidth="1"/>
    <col min="28" max="28" width="25.140625" style="5" customWidth="1"/>
    <col min="29" max="29" width="20.28515625" style="6" customWidth="1"/>
    <col min="30" max="30" width="21.5703125" style="6" customWidth="1"/>
    <col min="31" max="32" width="20.85546875" style="6" customWidth="1"/>
    <col min="33" max="33" width="25.85546875" style="6" customWidth="1"/>
    <col min="34" max="40" width="21.42578125" style="6" customWidth="1"/>
    <col min="41" max="43" width="20.85546875" style="7" customWidth="1"/>
    <col min="44" max="46" width="25.42578125" style="3" customWidth="1"/>
    <col min="47" max="47" width="29.42578125" style="7" customWidth="1"/>
    <col min="48" max="48" width="32.7109375" style="3" customWidth="1"/>
    <col min="49" max="49" width="16.28515625" style="3" customWidth="1"/>
    <col min="50" max="50" width="23.140625" style="3" customWidth="1"/>
    <col min="51" max="51" width="15.5703125" style="3" customWidth="1"/>
    <col min="52" max="16384" width="9.140625" style="3"/>
  </cols>
  <sheetData>
    <row r="1" spans="1:56" x14ac:dyDescent="0.25">
      <c r="A1" s="3" t="s">
        <v>0</v>
      </c>
      <c r="B1" s="3" t="s">
        <v>125</v>
      </c>
      <c r="C1" s="3" t="s">
        <v>1</v>
      </c>
      <c r="D1" s="3" t="s">
        <v>2</v>
      </c>
      <c r="E1" s="4" t="s">
        <v>25</v>
      </c>
      <c r="F1" s="3" t="s">
        <v>126</v>
      </c>
      <c r="G1" s="3" t="s">
        <v>127</v>
      </c>
      <c r="H1" s="3" t="s">
        <v>88</v>
      </c>
      <c r="I1" s="3" t="s">
        <v>251</v>
      </c>
      <c r="J1" s="3" t="s">
        <v>22</v>
      </c>
      <c r="K1" s="3" t="s">
        <v>3</v>
      </c>
      <c r="L1" s="11" t="s">
        <v>95</v>
      </c>
      <c r="M1" s="11" t="s">
        <v>94</v>
      </c>
      <c r="N1" s="11" t="s">
        <v>4</v>
      </c>
      <c r="O1" s="11" t="s">
        <v>118</v>
      </c>
      <c r="P1" s="11" t="s">
        <v>5</v>
      </c>
      <c r="Q1" s="11" t="s">
        <v>6</v>
      </c>
      <c r="R1" s="11" t="s">
        <v>7</v>
      </c>
      <c r="S1" s="11" t="s">
        <v>8</v>
      </c>
      <c r="T1" s="11" t="s">
        <v>9</v>
      </c>
      <c r="U1" s="11" t="s">
        <v>10</v>
      </c>
      <c r="V1" s="11" t="s">
        <v>11</v>
      </c>
      <c r="W1" s="11" t="s">
        <v>12</v>
      </c>
      <c r="X1" s="11" t="s">
        <v>13</v>
      </c>
      <c r="Y1" s="11" t="s">
        <v>14</v>
      </c>
      <c r="Z1" s="3" t="s">
        <v>31</v>
      </c>
      <c r="AA1" s="3" t="s">
        <v>87</v>
      </c>
      <c r="AB1" s="5" t="s">
        <v>30</v>
      </c>
      <c r="AC1" s="6" t="s">
        <v>26</v>
      </c>
      <c r="AD1" s="6" t="s">
        <v>27</v>
      </c>
      <c r="AE1" s="6" t="s">
        <v>28</v>
      </c>
      <c r="AF1" s="6" t="s">
        <v>89</v>
      </c>
      <c r="AG1" s="6" t="s">
        <v>90</v>
      </c>
      <c r="AH1" s="6" t="s">
        <v>185</v>
      </c>
      <c r="AI1" s="6" t="s">
        <v>186</v>
      </c>
      <c r="AJ1" s="6" t="s">
        <v>187</v>
      </c>
      <c r="AK1" s="6" t="s">
        <v>188</v>
      </c>
      <c r="AL1" s="6" t="s">
        <v>189</v>
      </c>
      <c r="AM1" s="6" t="s">
        <v>190</v>
      </c>
      <c r="AN1" s="6" t="s">
        <v>273</v>
      </c>
      <c r="AO1" s="7" t="s">
        <v>47</v>
      </c>
      <c r="AP1" s="7" t="s">
        <v>119</v>
      </c>
      <c r="AQ1" s="7" t="s">
        <v>86</v>
      </c>
      <c r="AR1" s="3" t="s">
        <v>21</v>
      </c>
      <c r="AS1" s="7" t="s">
        <v>92</v>
      </c>
      <c r="AT1" s="7" t="s">
        <v>93</v>
      </c>
      <c r="AU1" s="7" t="s">
        <v>99</v>
      </c>
      <c r="AV1" s="7" t="s">
        <v>100</v>
      </c>
      <c r="AW1" s="3" t="s">
        <v>24</v>
      </c>
      <c r="AX1" s="3" t="s">
        <v>83</v>
      </c>
      <c r="AY1" s="3" t="s">
        <v>106</v>
      </c>
      <c r="AZ1" s="3" t="s">
        <v>101</v>
      </c>
      <c r="BA1" s="3" t="s">
        <v>102</v>
      </c>
      <c r="BB1" s="3" t="s">
        <v>103</v>
      </c>
      <c r="BC1" s="3" t="s">
        <v>104</v>
      </c>
      <c r="BD1" s="3" t="s">
        <v>105</v>
      </c>
    </row>
    <row r="2" spans="1:56" ht="24.95" customHeight="1" x14ac:dyDescent="0.25">
      <c r="A2" s="3" t="s">
        <v>19</v>
      </c>
      <c r="B2" s="3">
        <v>0</v>
      </c>
      <c r="C2" s="8">
        <v>44219</v>
      </c>
      <c r="D2" s="9">
        <v>0.6875</v>
      </c>
      <c r="E2" s="4">
        <v>50</v>
      </c>
      <c r="F2" s="3">
        <v>5</v>
      </c>
      <c r="G2" s="3">
        <v>6</v>
      </c>
      <c r="H2" s="3">
        <v>30</v>
      </c>
      <c r="I2" s="3">
        <v>1</v>
      </c>
      <c r="J2" s="9">
        <v>0.21875</v>
      </c>
      <c r="K2" s="3">
        <v>144.19999999999999</v>
      </c>
      <c r="L2" s="11">
        <v>0.8</v>
      </c>
      <c r="M2" s="5">
        <f>160+322+80+105+120+81+8.5+57+80+160+100+80</f>
        <v>1353.5</v>
      </c>
      <c r="N2" s="11">
        <v>32</v>
      </c>
      <c r="O2" s="11" t="s">
        <v>20</v>
      </c>
      <c r="P2" s="11">
        <v>11.5</v>
      </c>
      <c r="Q2" s="11">
        <v>11.5</v>
      </c>
      <c r="R2" s="11">
        <v>22.5</v>
      </c>
      <c r="S2" s="11">
        <v>22.5</v>
      </c>
      <c r="T2" s="11">
        <v>20</v>
      </c>
      <c r="U2" s="11">
        <v>22</v>
      </c>
      <c r="V2" s="11">
        <v>18</v>
      </c>
      <c r="W2" s="11">
        <v>18</v>
      </c>
      <c r="X2" s="11">
        <v>12</v>
      </c>
      <c r="Y2" s="11">
        <v>10</v>
      </c>
      <c r="Z2" s="3" t="s">
        <v>96</v>
      </c>
      <c r="AA2" s="10" t="s">
        <v>84</v>
      </c>
      <c r="AB2" s="5">
        <f>100+80+70+12.75+57+105+107+81+240+200+160+310+80+81+200+90</f>
        <v>1973.75</v>
      </c>
      <c r="AC2" s="6">
        <f>1+5+5+6+2+10+3.5+5+1+3.5</f>
        <v>42</v>
      </c>
      <c r="AD2" s="6">
        <f>3.5+1.5+4+7+0.5+3.5+1</f>
        <v>21</v>
      </c>
      <c r="AE2" s="6">
        <f>2+6+6+1+2+12+4+12+16+6+2+4+3</f>
        <v>76</v>
      </c>
      <c r="AF2" s="6">
        <f>21+1+13.5+15+27+28+21+38+42+2+52+44+12+1+21</f>
        <v>338.5</v>
      </c>
      <c r="AG2" s="6">
        <f>2+3+4+4+8+6+2+1+3</f>
        <v>33</v>
      </c>
      <c r="AH2" s="6">
        <f>20+190+70+2+1+3+3+2+660+40+380+1630+190+2+460</f>
        <v>3653</v>
      </c>
      <c r="AI2" s="6">
        <f>$AC2/$AB2</f>
        <v>2.1279290690310322E-2</v>
      </c>
      <c r="AJ2" s="6">
        <f>$AD2/$AB2</f>
        <v>1.0639645345155161E-2</v>
      </c>
      <c r="AK2" s="6">
        <f>$AE2/$AB2</f>
        <v>3.8505383153894873E-2</v>
      </c>
      <c r="AL2" s="6">
        <f>$AF2/$AB2</f>
        <v>0.1715009499683344</v>
      </c>
      <c r="AM2" s="6">
        <f>$AG2/$AB2</f>
        <v>1.6719442685243825E-2</v>
      </c>
      <c r="AN2" s="6">
        <f>$AH2/$AB2</f>
        <v>1.8507916402786573</v>
      </c>
      <c r="AO2" s="7">
        <v>3</v>
      </c>
      <c r="AP2" s="7">
        <v>1</v>
      </c>
      <c r="AQ2" s="7">
        <v>1</v>
      </c>
      <c r="AR2" s="10" t="s">
        <v>73</v>
      </c>
      <c r="AS2" s="10">
        <v>0</v>
      </c>
      <c r="AT2" s="10" t="s">
        <v>98</v>
      </c>
      <c r="AU2" s="7">
        <v>0</v>
      </c>
      <c r="AV2" s="10">
        <f>-10</f>
        <v>-10</v>
      </c>
      <c r="AW2" s="3">
        <v>31</v>
      </c>
      <c r="AX2" s="3">
        <v>1</v>
      </c>
      <c r="AY2" s="3">
        <v>7</v>
      </c>
      <c r="AZ2" s="3">
        <v>1</v>
      </c>
      <c r="BA2" s="3">
        <v>1</v>
      </c>
      <c r="BB2" s="3">
        <v>1</v>
      </c>
      <c r="BC2" s="3">
        <v>1</v>
      </c>
      <c r="BD2" s="3">
        <v>1</v>
      </c>
    </row>
    <row r="3" spans="1:56" ht="24.95" customHeight="1" x14ac:dyDescent="0.25">
      <c r="A3" s="3" t="s">
        <v>23</v>
      </c>
      <c r="B3" s="3">
        <v>1</v>
      </c>
      <c r="C3" s="8">
        <v>44220</v>
      </c>
      <c r="D3" s="9">
        <v>0.58333333333333337</v>
      </c>
      <c r="E3" s="4">
        <v>58</v>
      </c>
      <c r="F3" s="3">
        <v>0</v>
      </c>
      <c r="G3" s="3">
        <v>0</v>
      </c>
      <c r="H3" s="3">
        <v>0</v>
      </c>
      <c r="I3" s="3">
        <v>0</v>
      </c>
      <c r="J3" s="9">
        <v>0.86805555555555547</v>
      </c>
      <c r="K3" s="3">
        <v>143.80000000000001</v>
      </c>
      <c r="L3" s="11">
        <f t="shared" ref="L3:L4" si="0">K3-K2</f>
        <v>-0.39999999999997726</v>
      </c>
      <c r="M3" s="5">
        <f>AB2</f>
        <v>1973.75</v>
      </c>
      <c r="N3" s="11">
        <v>32</v>
      </c>
      <c r="O3" s="11" t="s">
        <v>20</v>
      </c>
      <c r="P3" s="11">
        <v>11.5</v>
      </c>
      <c r="Q3" s="11">
        <v>11.5</v>
      </c>
      <c r="R3" s="11">
        <v>22.5</v>
      </c>
      <c r="S3" s="11">
        <v>22.5</v>
      </c>
      <c r="T3" s="11">
        <v>22</v>
      </c>
      <c r="U3" s="11">
        <v>22</v>
      </c>
      <c r="V3" s="11">
        <v>22</v>
      </c>
      <c r="W3" s="11">
        <v>22</v>
      </c>
      <c r="X3" s="11">
        <v>12</v>
      </c>
      <c r="Y3" s="11">
        <v>14</v>
      </c>
      <c r="Z3" s="3" t="s">
        <v>97</v>
      </c>
      <c r="AA3" s="10" t="s">
        <v>85</v>
      </c>
      <c r="AB3" s="5">
        <f>200+90+20+200+38.25+57+107+81+240+200+90+20+200+81+57</f>
        <v>1681.25</v>
      </c>
      <c r="AC3" s="6">
        <f>1+3.5+1.5+9+1.6+1+3.5+1.5+9</f>
        <v>31.6</v>
      </c>
      <c r="AD3" s="6">
        <f>1+1+9+1+1+9</f>
        <v>22</v>
      </c>
      <c r="AE3" s="6">
        <f>4+3+2+12+1+2+4.8+4+3+2+12+2</f>
        <v>51.8</v>
      </c>
      <c r="AF3" s="6">
        <f>44+12+40.5+15+28+21+33+44+12+21+15</f>
        <v>285.5</v>
      </c>
      <c r="AG3" s="6">
        <f>1+3+3+3+4+3.2+1+3+4+3</f>
        <v>28.2</v>
      </c>
      <c r="AH3" s="6">
        <f>460+100+340+6+1+3+2+448+460+100+340+2+1</f>
        <v>2263</v>
      </c>
      <c r="AI3" s="6">
        <f t="shared" ref="AI3:AI41" si="1">$AC3/$AB3</f>
        <v>1.8795539033457251E-2</v>
      </c>
      <c r="AJ3" s="6">
        <f t="shared" ref="AJ3:AJ41" si="2">$AD3/$AB3</f>
        <v>1.3085501858736059E-2</v>
      </c>
      <c r="AK3" s="6">
        <f t="shared" ref="AK3:AK41" si="3">$AE3/$AB3</f>
        <v>3.0810408921933083E-2</v>
      </c>
      <c r="AL3" s="6">
        <f t="shared" ref="AL3:AL41" si="4">$AF3/$AB3</f>
        <v>0.16981412639405205</v>
      </c>
      <c r="AM3" s="6">
        <f t="shared" ref="AM3:AM41" si="5">$AG3/$AB3</f>
        <v>1.6773234200743493E-2</v>
      </c>
      <c r="AN3" s="6">
        <f t="shared" ref="AN3:AN41" si="6">$AH3/$AB3</f>
        <v>1.3460223048327138</v>
      </c>
      <c r="AO3" s="7">
        <v>3</v>
      </c>
      <c r="AP3" s="7">
        <v>1</v>
      </c>
      <c r="AQ3" s="7">
        <v>1</v>
      </c>
      <c r="AR3" s="10">
        <v>0</v>
      </c>
      <c r="AS3" s="10">
        <v>0</v>
      </c>
      <c r="AT3" s="10">
        <v>0</v>
      </c>
      <c r="AU3" s="7">
        <v>0</v>
      </c>
      <c r="AV3" s="10">
        <v>0</v>
      </c>
      <c r="AW3" s="3">
        <v>31</v>
      </c>
      <c r="AX3" s="3">
        <v>1</v>
      </c>
      <c r="AY3" s="3">
        <v>7</v>
      </c>
      <c r="AZ3" s="3">
        <v>1</v>
      </c>
      <c r="BA3" s="3">
        <v>1</v>
      </c>
      <c r="BB3" s="3">
        <v>1</v>
      </c>
      <c r="BC3" s="3">
        <v>1</v>
      </c>
      <c r="BD3" s="3">
        <v>1</v>
      </c>
    </row>
    <row r="4" spans="1:56" ht="24.95" customHeight="1" x14ac:dyDescent="0.25">
      <c r="A4" s="3" t="s">
        <v>15</v>
      </c>
      <c r="B4" s="3">
        <v>2</v>
      </c>
      <c r="C4" s="8">
        <v>44221</v>
      </c>
      <c r="D4" s="9">
        <v>0.58333333333333337</v>
      </c>
      <c r="E4" s="4">
        <v>54</v>
      </c>
      <c r="F4" s="3">
        <v>0</v>
      </c>
      <c r="G4" s="3">
        <v>0</v>
      </c>
      <c r="H4" s="3">
        <v>0</v>
      </c>
      <c r="I4" s="3">
        <v>0</v>
      </c>
      <c r="J4" s="9">
        <v>0.58333333333333337</v>
      </c>
      <c r="K4" s="3">
        <v>141.6</v>
      </c>
      <c r="L4" s="11">
        <f t="shared" si="0"/>
        <v>-2.2000000000000171</v>
      </c>
      <c r="M4" s="5">
        <f>AB3</f>
        <v>1681.25</v>
      </c>
      <c r="N4" s="11">
        <v>31.5</v>
      </c>
      <c r="O4" s="11" t="s">
        <v>20</v>
      </c>
      <c r="P4" s="11">
        <v>11.25</v>
      </c>
      <c r="Q4" s="11">
        <v>11.25</v>
      </c>
      <c r="R4" s="11">
        <v>22.5</v>
      </c>
      <c r="S4" s="11">
        <v>22.5</v>
      </c>
      <c r="T4" s="11">
        <v>20</v>
      </c>
      <c r="U4" s="11">
        <v>20</v>
      </c>
      <c r="V4" s="11">
        <v>20</v>
      </c>
      <c r="W4" s="11">
        <v>20</v>
      </c>
      <c r="X4" s="11">
        <v>10</v>
      </c>
      <c r="Y4" s="11">
        <v>10</v>
      </c>
      <c r="Z4" s="3" t="s">
        <v>113</v>
      </c>
      <c r="AA4" s="10" t="s">
        <v>108</v>
      </c>
      <c r="AB4" s="5">
        <f>90+200+20+200+81+75+322+200+100+75+200+290+105.6+322+200+175</f>
        <v>2655.6</v>
      </c>
      <c r="AC4" s="6">
        <f>3.5+1+1.5+9+5+1+9+29+5+12+13+4.62+29+9+11.4</f>
        <v>143.02000000000001</v>
      </c>
      <c r="AD4" s="6">
        <f>1+1+9+4.5+4+9+4.5+6+12+1.32+4+9+0+10.5</f>
        <v>75.819999999999993</v>
      </c>
      <c r="AE4" s="6">
        <f>3+4+2+12+0.75+2+12+4+0.75+7+2+1.32+4+12+2+1.75</f>
        <v>70.569999999999993</v>
      </c>
      <c r="AF4" s="6">
        <f>12+44+1+21+8.25+21+1+17+8.25+39+22+13.86+17+1+24+19.25</f>
        <v>269.61</v>
      </c>
      <c r="AG4" s="6">
        <f>3+1+4+0.75+2+18+0.75+3+2+1.32+18+2+1.75</f>
        <v>57.57</v>
      </c>
      <c r="AH4" s="6">
        <f>460+100+340+2+7.5+20+340+14+7.5+1150+20+14+340+17.5</f>
        <v>2832.5</v>
      </c>
      <c r="AI4" s="6">
        <f t="shared" si="1"/>
        <v>5.3856002410001512E-2</v>
      </c>
      <c r="AJ4" s="6">
        <f t="shared" si="2"/>
        <v>2.8550986594366619E-2</v>
      </c>
      <c r="AK4" s="6">
        <f t="shared" si="3"/>
        <v>2.6574032233770143E-2</v>
      </c>
      <c r="AL4" s="6">
        <f t="shared" si="4"/>
        <v>0.10152507907817443</v>
      </c>
      <c r="AM4" s="6">
        <f t="shared" si="5"/>
        <v>2.1678716674197924E-2</v>
      </c>
      <c r="AN4" s="6">
        <f t="shared" si="6"/>
        <v>1.0666139478837176</v>
      </c>
      <c r="AO4" s="7">
        <v>3</v>
      </c>
      <c r="AP4" s="7">
        <v>2</v>
      </c>
      <c r="AQ4" s="7">
        <v>1</v>
      </c>
      <c r="AR4" s="10">
        <v>0</v>
      </c>
      <c r="AS4" s="10">
        <v>0</v>
      </c>
      <c r="AT4" s="10">
        <v>0</v>
      </c>
      <c r="AU4" s="7">
        <v>0</v>
      </c>
      <c r="AV4" s="3">
        <v>0</v>
      </c>
      <c r="AW4" s="3">
        <v>31</v>
      </c>
      <c r="AX4" s="3">
        <v>1</v>
      </c>
      <c r="AY4" s="3">
        <v>7</v>
      </c>
      <c r="AZ4" s="3">
        <v>0</v>
      </c>
      <c r="BA4" s="3">
        <v>1</v>
      </c>
      <c r="BB4" s="3">
        <v>0</v>
      </c>
      <c r="BC4" s="3">
        <v>1</v>
      </c>
      <c r="BD4" s="3">
        <v>1</v>
      </c>
    </row>
    <row r="5" spans="1:56" ht="24.95" customHeight="1" x14ac:dyDescent="0.25">
      <c r="A5" s="3" t="s">
        <v>16</v>
      </c>
      <c r="B5" s="3">
        <v>3</v>
      </c>
      <c r="C5" s="8">
        <v>44222</v>
      </c>
      <c r="D5" s="9">
        <v>0.59375</v>
      </c>
      <c r="E5" s="4">
        <v>57</v>
      </c>
      <c r="F5" s="3">
        <v>12</v>
      </c>
      <c r="G5" s="3">
        <v>3</v>
      </c>
      <c r="H5" s="3">
        <v>36</v>
      </c>
      <c r="I5" s="3">
        <v>1</v>
      </c>
      <c r="J5" s="3" t="s">
        <v>20</v>
      </c>
      <c r="K5" s="3" t="s">
        <v>20</v>
      </c>
      <c r="L5" s="11" t="s">
        <v>20</v>
      </c>
      <c r="M5" s="5">
        <f t="shared" ref="M5:M23" si="7">AB4</f>
        <v>2655.6</v>
      </c>
      <c r="N5" s="11" t="s">
        <v>20</v>
      </c>
      <c r="O5" s="11" t="s">
        <v>20</v>
      </c>
      <c r="P5" s="11" t="s">
        <v>20</v>
      </c>
      <c r="Q5" s="11" t="s">
        <v>20</v>
      </c>
      <c r="R5" s="11" t="s">
        <v>20</v>
      </c>
      <c r="S5" s="11" t="s">
        <v>20</v>
      </c>
      <c r="T5" s="11" t="s">
        <v>20</v>
      </c>
      <c r="U5" s="11" t="s">
        <v>20</v>
      </c>
      <c r="V5" s="11" t="s">
        <v>20</v>
      </c>
      <c r="W5" s="11" t="s">
        <v>20</v>
      </c>
      <c r="X5" s="11" t="s">
        <v>20</v>
      </c>
      <c r="Y5" s="11" t="s">
        <v>20</v>
      </c>
      <c r="Z5" s="3" t="s">
        <v>117</v>
      </c>
      <c r="AA5" s="10" t="s">
        <v>121</v>
      </c>
      <c r="AB5" s="5">
        <f>200+150+60+161+330+260+31+37+40+161+20+81+330+260+31+37+40+20+100+92+57+140</f>
        <v>2638</v>
      </c>
      <c r="AC5" s="6">
        <f>2+6.75+1+14.5+2.5+18+0.34+14.5+1.5+2.5+18+0.34+1.5+4.5+10</f>
        <v>97.93</v>
      </c>
      <c r="AD5" s="6">
        <f>0+6.75+0+2+0.5+5+0.04+0+0+2+1+0+0.5+5+0.04+0+0+1+4.5+0+0+3</f>
        <v>31.33</v>
      </c>
      <c r="AE5" s="6">
        <f>4+9+2+2+23+20+3+1+1+2+2+2+23+20+3+1+1+2+6+2+0+12</f>
        <v>141</v>
      </c>
      <c r="AF5" s="6">
        <f>42+0.75+12+8.5+61+5+6+7+10+8.5+0+21+61+5+6+7+10+0+0.5+24+15+0</f>
        <v>310.25</v>
      </c>
      <c r="AG5" s="6">
        <f>4+0+2+6.5+11+2+2+2+3+6.5+0+4+11+2+2+2+3+0+0+2+3+0</f>
        <v>68</v>
      </c>
      <c r="AH5" s="6">
        <f>40+255+420+7+0+350+30.03+5+0+7+100+2+0+350+30.03+5+0+100+170+0+1+140</f>
        <v>2012.06</v>
      </c>
      <c r="AI5" s="6">
        <f t="shared" si="1"/>
        <v>3.7122820318423053E-2</v>
      </c>
      <c r="AJ5" s="6">
        <f t="shared" si="2"/>
        <v>1.1876421531463229E-2</v>
      </c>
      <c r="AK5" s="6">
        <f t="shared" si="3"/>
        <v>5.3449583017437449E-2</v>
      </c>
      <c r="AL5" s="6">
        <f t="shared" si="4"/>
        <v>0.11760803639120546</v>
      </c>
      <c r="AM5" s="6">
        <f t="shared" si="5"/>
        <v>2.5777103866565579E-2</v>
      </c>
      <c r="AN5" s="6">
        <f t="shared" si="6"/>
        <v>0.76272175890826377</v>
      </c>
      <c r="AO5" s="7">
        <v>3</v>
      </c>
      <c r="AP5" s="7">
        <v>1</v>
      </c>
      <c r="AQ5" s="7">
        <v>1</v>
      </c>
      <c r="AR5" s="10" t="s">
        <v>114</v>
      </c>
      <c r="AS5" s="10">
        <v>0</v>
      </c>
      <c r="AT5" s="10">
        <v>0</v>
      </c>
      <c r="AU5" s="7">
        <v>0</v>
      </c>
      <c r="AV5" s="10">
        <v>0</v>
      </c>
      <c r="AW5" s="3">
        <v>31</v>
      </c>
      <c r="AX5" s="3">
        <v>1</v>
      </c>
      <c r="AY5" s="3">
        <v>8.5</v>
      </c>
      <c r="AZ5" s="3">
        <v>1</v>
      </c>
      <c r="BA5" s="3">
        <v>1</v>
      </c>
      <c r="BB5" s="3">
        <v>1</v>
      </c>
      <c r="BC5" s="3">
        <v>1</v>
      </c>
      <c r="BD5" s="3">
        <v>1</v>
      </c>
    </row>
    <row r="6" spans="1:56" ht="20.100000000000001" customHeight="1" x14ac:dyDescent="0.25">
      <c r="A6" s="3" t="s">
        <v>17</v>
      </c>
      <c r="B6" s="3">
        <v>4</v>
      </c>
      <c r="C6" s="8">
        <v>44223</v>
      </c>
      <c r="D6" s="9">
        <v>0.6875</v>
      </c>
      <c r="E6" s="4">
        <v>52</v>
      </c>
      <c r="F6" s="3">
        <v>0</v>
      </c>
      <c r="G6" s="3">
        <v>0</v>
      </c>
      <c r="H6" s="3">
        <v>0</v>
      </c>
      <c r="I6" s="3">
        <v>0</v>
      </c>
      <c r="J6" s="9">
        <v>0.6875</v>
      </c>
      <c r="K6" s="3">
        <v>142.4</v>
      </c>
      <c r="L6" s="11" t="s">
        <v>20</v>
      </c>
      <c r="M6" s="5">
        <f t="shared" si="7"/>
        <v>2638</v>
      </c>
      <c r="N6" s="11">
        <v>31</v>
      </c>
      <c r="O6" s="11">
        <v>33</v>
      </c>
      <c r="P6" s="11">
        <v>11.75</v>
      </c>
      <c r="Q6" s="11">
        <v>11.5</v>
      </c>
      <c r="R6" s="11">
        <v>22.5</v>
      </c>
      <c r="S6" s="11">
        <v>22.5</v>
      </c>
      <c r="T6" s="11">
        <v>20</v>
      </c>
      <c r="U6" s="11">
        <v>20</v>
      </c>
      <c r="V6" s="11">
        <v>20</v>
      </c>
      <c r="W6" s="11">
        <v>20</v>
      </c>
      <c r="X6" s="11">
        <v>10</v>
      </c>
      <c r="Y6" s="11">
        <v>10</v>
      </c>
      <c r="Z6" s="3" t="s">
        <v>128</v>
      </c>
      <c r="AA6" s="10" t="s">
        <v>129</v>
      </c>
      <c r="AB6" s="3">
        <f>330+260+60+31+37+40+20+160+208+57+200+160+180+322+81+330+260+60+31+37+40+20+160+150+60+200+615+200+160+120</f>
        <v>4589</v>
      </c>
      <c r="AC6" s="3">
        <f>2.5+18+1+0.34+0+0+1.5+10+0+0+2+10+4.5+29+0+2.5+18+1+0.34+0+0+1.5+10+10+5+0+0+2+10+3</f>
        <v>142.18</v>
      </c>
      <c r="AD6" s="3">
        <f>0.5+5+0+0.04+0+0+1+7+0+0+0+7+3+4+0+0.5+5+0+0.04+0+0+1+7+1.5+3.5+0+0+0+7+2</f>
        <v>55.08</v>
      </c>
      <c r="AE6" s="3">
        <f>23+20+2+3+1+1+2+12+2+0+4+12+9+4+2+23+20+2+3+1+1+2+12+1+1+0+0+4+12+6</f>
        <v>185</v>
      </c>
      <c r="AF6" s="3">
        <f>61+5+12+6+7+10+0+2+54+15+42+2+28.5+17+21+61+5+12+6+7+10+0+2+15+2+50+20+42+2+19</f>
        <v>535.5</v>
      </c>
      <c r="AG6" s="3">
        <f>11+2+2+2+2+3+0+0+2+3+4+0+3+18+4+11+2+2+2+2+3+0+0+1+0+4+0+4+0+2</f>
        <v>89</v>
      </c>
      <c r="AH6" s="3">
        <f>0+350+420+30.03+5+0+100+380+6+1+40+380+495+14+2+0+350+420+30.03+5+0+100+380+140+15+0+30+40+380+330</f>
        <v>4443.0599999999995</v>
      </c>
      <c r="AI6" s="6">
        <f t="shared" si="1"/>
        <v>3.0982784920461977E-2</v>
      </c>
      <c r="AJ6" s="6">
        <f t="shared" si="2"/>
        <v>1.2002614948790586E-2</v>
      </c>
      <c r="AK6" s="6">
        <f t="shared" si="3"/>
        <v>4.0313793854870342E-2</v>
      </c>
      <c r="AL6" s="6">
        <f t="shared" si="4"/>
        <v>0.11669208977990847</v>
      </c>
      <c r="AM6" s="6">
        <f t="shared" si="5"/>
        <v>1.9394203530180867E-2</v>
      </c>
      <c r="AN6" s="6">
        <f t="shared" si="6"/>
        <v>0.96819786445848754</v>
      </c>
      <c r="AO6" s="7">
        <v>3</v>
      </c>
      <c r="AP6" s="7">
        <v>3</v>
      </c>
      <c r="AQ6" s="7">
        <v>1</v>
      </c>
      <c r="AR6" s="10">
        <v>0</v>
      </c>
      <c r="AS6" s="10">
        <v>0</v>
      </c>
      <c r="AT6" s="10">
        <v>0</v>
      </c>
      <c r="AU6" s="7">
        <v>0</v>
      </c>
      <c r="AV6" s="3">
        <v>0</v>
      </c>
      <c r="AW6" s="3">
        <v>31</v>
      </c>
      <c r="AX6" s="3">
        <v>1</v>
      </c>
      <c r="AY6" s="3">
        <v>7</v>
      </c>
      <c r="AZ6" s="3">
        <v>1</v>
      </c>
      <c r="BA6" s="3">
        <v>0</v>
      </c>
      <c r="BB6" s="3">
        <v>1</v>
      </c>
      <c r="BC6" s="3">
        <v>1</v>
      </c>
      <c r="BD6" s="3">
        <v>1</v>
      </c>
    </row>
    <row r="7" spans="1:56" ht="20.100000000000001" customHeight="1" x14ac:dyDescent="0.25">
      <c r="A7" s="3" t="s">
        <v>18</v>
      </c>
      <c r="B7" s="3">
        <v>5</v>
      </c>
      <c r="C7" s="8">
        <v>44224</v>
      </c>
      <c r="D7" s="9">
        <v>0.39583333333333331</v>
      </c>
      <c r="E7" s="4">
        <v>54</v>
      </c>
      <c r="F7" s="3">
        <v>9</v>
      </c>
      <c r="G7" s="3">
        <v>5</v>
      </c>
      <c r="H7" s="3">
        <v>45</v>
      </c>
      <c r="I7" s="3">
        <v>1</v>
      </c>
      <c r="J7" s="9">
        <v>0.21875</v>
      </c>
      <c r="K7" s="3">
        <v>140.6</v>
      </c>
      <c r="L7" s="11">
        <f>K7-K6</f>
        <v>-1.8000000000000114</v>
      </c>
      <c r="M7" s="5">
        <f t="shared" si="7"/>
        <v>4589</v>
      </c>
      <c r="N7" s="11">
        <v>32.5</v>
      </c>
      <c r="O7" s="11">
        <v>33.5</v>
      </c>
      <c r="P7" s="11">
        <v>11.5</v>
      </c>
      <c r="Q7" s="11">
        <v>11.5</v>
      </c>
      <c r="R7" s="11">
        <v>23</v>
      </c>
      <c r="S7" s="11">
        <v>23</v>
      </c>
      <c r="T7" s="11">
        <v>22</v>
      </c>
      <c r="U7" s="11">
        <v>22</v>
      </c>
      <c r="V7" s="11">
        <v>20</v>
      </c>
      <c r="W7" s="11">
        <v>20</v>
      </c>
      <c r="X7" s="11">
        <v>10</v>
      </c>
      <c r="Y7" s="11">
        <v>10</v>
      </c>
      <c r="Z7" s="3" t="s">
        <v>132</v>
      </c>
      <c r="AA7" s="10" t="s">
        <v>133</v>
      </c>
      <c r="AB7" s="3">
        <f>330+260+60+31+37+40+20+200+160+140+322+200+270+300+81+920+100+80+120</f>
        <v>3671</v>
      </c>
      <c r="AC7" s="3">
        <f>2.5+18+1+0.34+0+0+1.5+2+10+10+29+0+7+2+0+0+1+5+3</f>
        <v>92.34</v>
      </c>
      <c r="AD7" s="3">
        <f>0.5+5+0+3+0+0+1+0+7+3+4+0+1+0+0+2+0+3.5+2</f>
        <v>32</v>
      </c>
      <c r="AE7" s="3">
        <f>23+20+2+3+1+1+2+4+12+12+4+0+6+6+2+24+2+6+6</f>
        <v>136</v>
      </c>
      <c r="AF7" s="3">
        <f>61+5+12+6+7+10+0+42+2+0+17+50+46+66+21+24+21+1+19</f>
        <v>410</v>
      </c>
      <c r="AG7" s="3">
        <f>11+2+2+2+2+3+0+4+0+0+18+4+3+4+4+2+2+0+2</f>
        <v>65</v>
      </c>
      <c r="AH7" s="3">
        <f>0+350+420+30.03+5+0+100+40+380+140+14+0+55+560+2+0+20+190+330</f>
        <v>2636.0299999999997</v>
      </c>
      <c r="AI7" s="6">
        <f t="shared" si="1"/>
        <v>2.5153909016616727E-2</v>
      </c>
      <c r="AJ7" s="6">
        <f t="shared" si="2"/>
        <v>8.7169708526287117E-3</v>
      </c>
      <c r="AK7" s="6">
        <f t="shared" si="3"/>
        <v>3.7047126123672024E-2</v>
      </c>
      <c r="AL7" s="6">
        <f t="shared" si="4"/>
        <v>0.11168618904930537</v>
      </c>
      <c r="AM7" s="6">
        <f t="shared" si="5"/>
        <v>1.770634704440207E-2</v>
      </c>
      <c r="AN7" s="6">
        <f t="shared" si="6"/>
        <v>0.7180686461454644</v>
      </c>
      <c r="AO7" s="7">
        <v>3</v>
      </c>
      <c r="AP7" s="7">
        <v>1</v>
      </c>
      <c r="AQ7" s="7">
        <v>1</v>
      </c>
      <c r="AR7" s="10" t="s">
        <v>130</v>
      </c>
      <c r="AS7" s="3" t="s">
        <v>131</v>
      </c>
      <c r="AU7" s="7">
        <f>5+10+10</f>
        <v>25</v>
      </c>
      <c r="AV7" s="10">
        <v>0</v>
      </c>
      <c r="AW7" s="3">
        <v>31</v>
      </c>
      <c r="AX7" s="3">
        <v>1</v>
      </c>
      <c r="AY7" s="3">
        <v>6</v>
      </c>
      <c r="AZ7" s="3">
        <v>1</v>
      </c>
      <c r="BA7" s="3">
        <v>1</v>
      </c>
      <c r="BB7" s="3">
        <v>1</v>
      </c>
      <c r="BC7" s="3">
        <v>1</v>
      </c>
      <c r="BD7" s="3">
        <v>1</v>
      </c>
    </row>
    <row r="8" spans="1:56" ht="20.100000000000001" customHeight="1" x14ac:dyDescent="0.25">
      <c r="A8" s="3" t="s">
        <v>138</v>
      </c>
      <c r="B8" s="3">
        <v>6</v>
      </c>
      <c r="C8" s="8">
        <v>44225</v>
      </c>
      <c r="D8" s="9">
        <v>0.58333333333333337</v>
      </c>
      <c r="E8" s="4">
        <v>50</v>
      </c>
      <c r="F8" s="3">
        <v>0</v>
      </c>
      <c r="G8" s="3">
        <v>0</v>
      </c>
      <c r="H8" s="3">
        <v>0</v>
      </c>
      <c r="I8" s="3">
        <v>0</v>
      </c>
      <c r="J8" s="9">
        <v>0.29166666666666669</v>
      </c>
      <c r="K8" s="3">
        <v>141.4</v>
      </c>
      <c r="L8" s="11">
        <f>K8-K7</f>
        <v>0.80000000000001137</v>
      </c>
      <c r="M8" s="5">
        <f t="shared" si="7"/>
        <v>3671</v>
      </c>
      <c r="N8" s="11">
        <v>31.5</v>
      </c>
      <c r="O8" s="11">
        <v>33</v>
      </c>
      <c r="P8" s="11">
        <v>11.25</v>
      </c>
      <c r="Q8" s="11">
        <v>11.25</v>
      </c>
      <c r="R8" s="11">
        <v>21.75</v>
      </c>
      <c r="S8" s="11">
        <v>21.75</v>
      </c>
      <c r="T8" s="11">
        <v>20</v>
      </c>
      <c r="U8" s="11">
        <v>20</v>
      </c>
      <c r="V8" s="11">
        <v>20</v>
      </c>
      <c r="W8" s="11">
        <v>20</v>
      </c>
      <c r="X8" s="11">
        <v>14</v>
      </c>
      <c r="Y8" s="11">
        <v>14</v>
      </c>
      <c r="Z8" s="3" t="s">
        <v>147</v>
      </c>
      <c r="AA8" s="10" t="s">
        <v>145</v>
      </c>
      <c r="AB8" s="3">
        <f>140+322+200+160+162+92+150+240+42+100+22.1+190+200+5+75</f>
        <v>2100.1</v>
      </c>
      <c r="AC8" s="3">
        <f>10+29+2+10+0+0+1+6+0.4+8+0.2+18+0+0+0.5</f>
        <v>85.100000000000009</v>
      </c>
      <c r="AD8" s="3">
        <f>3+4+0+7+0+0+0+4+0+5+0+1.5+0+0+0</f>
        <v>24.5</v>
      </c>
      <c r="AE8" s="3">
        <f>12+4+4+12+4+2+3+12+1+7+1.1+4+0+0+1.5</f>
        <v>67.599999999999994</v>
      </c>
      <c r="AF8" s="3">
        <f>0+17+42+2+42+24+32+38+10+0+4.8+4+50+1+16</f>
        <v>282.8</v>
      </c>
      <c r="AG8" s="3">
        <f>0+18+4+0+8+2+2+4+2.2+0+1.5+2+4+0+1</f>
        <v>48.7</v>
      </c>
      <c r="AH8" s="3">
        <f>140+14+40+380+4+0+280+660+412+170+6.2+0+0+0+140</f>
        <v>2246.1999999999998</v>
      </c>
      <c r="AI8" s="6">
        <f t="shared" si="1"/>
        <v>4.0521879910480459E-2</v>
      </c>
      <c r="AJ8" s="6">
        <f t="shared" si="2"/>
        <v>1.1666111137564878E-2</v>
      </c>
      <c r="AK8" s="6">
        <f t="shared" si="3"/>
        <v>3.2188943383648395E-2</v>
      </c>
      <c r="AL8" s="6">
        <f t="shared" si="4"/>
        <v>0.13466025427360603</v>
      </c>
      <c r="AM8" s="6">
        <f t="shared" si="5"/>
        <v>2.3189371934669779E-2</v>
      </c>
      <c r="AN8" s="6">
        <f t="shared" si="6"/>
        <v>1.0695681158040093</v>
      </c>
      <c r="AO8" s="7">
        <v>3</v>
      </c>
      <c r="AP8" s="7">
        <v>1</v>
      </c>
      <c r="AQ8" s="7">
        <v>0</v>
      </c>
      <c r="AR8" s="10">
        <v>0</v>
      </c>
      <c r="AS8" s="10">
        <v>0</v>
      </c>
      <c r="AT8" s="10">
        <v>0</v>
      </c>
      <c r="AU8" s="7">
        <v>0</v>
      </c>
      <c r="AV8" s="3">
        <v>0</v>
      </c>
      <c r="AW8" s="3">
        <v>31</v>
      </c>
      <c r="AX8" s="3">
        <v>1</v>
      </c>
      <c r="AY8" s="3">
        <v>6.5</v>
      </c>
      <c r="AZ8" s="3">
        <v>1</v>
      </c>
      <c r="BA8" s="3">
        <v>1</v>
      </c>
      <c r="BB8" s="3">
        <v>1</v>
      </c>
      <c r="BC8" s="3">
        <v>1</v>
      </c>
      <c r="BD8" s="3">
        <v>1</v>
      </c>
    </row>
    <row r="9" spans="1:56" ht="20.100000000000001" customHeight="1" x14ac:dyDescent="0.25">
      <c r="A9" s="3" t="s">
        <v>19</v>
      </c>
      <c r="B9" s="3">
        <v>7</v>
      </c>
      <c r="C9" s="8">
        <v>44226</v>
      </c>
      <c r="D9" s="9">
        <v>0.29166666666666669</v>
      </c>
      <c r="E9" s="4">
        <v>40</v>
      </c>
      <c r="F9" s="3">
        <v>12</v>
      </c>
      <c r="G9" s="3">
        <v>3</v>
      </c>
      <c r="H9" s="3">
        <v>36</v>
      </c>
      <c r="I9" s="3">
        <v>1</v>
      </c>
      <c r="J9" s="9">
        <v>0.29166666666666669</v>
      </c>
      <c r="K9" s="3">
        <v>141.4</v>
      </c>
      <c r="L9" s="11">
        <f t="shared" ref="L9:L23" si="8">K9-K8</f>
        <v>0</v>
      </c>
      <c r="M9" s="5">
        <f t="shared" si="7"/>
        <v>2100.1</v>
      </c>
      <c r="N9" s="5">
        <v>32.5</v>
      </c>
      <c r="O9" s="11">
        <v>33.5</v>
      </c>
      <c r="P9" s="11">
        <v>11.25</v>
      </c>
      <c r="Q9" s="11" t="s">
        <v>141</v>
      </c>
      <c r="R9" s="11">
        <v>22.5</v>
      </c>
      <c r="S9" s="11">
        <v>22.5</v>
      </c>
      <c r="T9" s="11">
        <v>20</v>
      </c>
      <c r="U9" s="11">
        <v>20</v>
      </c>
      <c r="V9" s="11">
        <v>20</v>
      </c>
      <c r="W9" s="11">
        <v>20</v>
      </c>
      <c r="X9" s="11">
        <v>12</v>
      </c>
      <c r="Y9" s="11">
        <v>10</v>
      </c>
      <c r="Z9" s="3" t="s">
        <v>146</v>
      </c>
      <c r="AA9" s="10" t="s">
        <v>142</v>
      </c>
      <c r="AB9" s="3">
        <f>42+100+22.1+190+150+200+260+60+42+100+22.1+190+20</f>
        <v>1398.1999999999998</v>
      </c>
      <c r="AC9" s="3">
        <f>0.4+8+0.2+18+1+1+18+1+0.4+8+0.2+18+1.5</f>
        <v>75.7</v>
      </c>
      <c r="AD9" s="3">
        <f>0+5+0+1.5+0+0+0+5+0+0+5+0+1.5+1</f>
        <v>19</v>
      </c>
      <c r="AE9" s="3">
        <f>1+7+1.1+4+3+4+20+2+1+7+1.1+4+2</f>
        <v>57.2</v>
      </c>
      <c r="AF9" s="3">
        <f>10+0+4.8+4+33+44+5+12+10+0+4.8+4+0</f>
        <v>131.6</v>
      </c>
      <c r="AG9" s="3">
        <f>2.2+0+1.5+2+2+1+2+2+2.2+0+1.5+2+0</f>
        <v>18.399999999999999</v>
      </c>
      <c r="AH9" s="3">
        <f>412+170+6.2+0+280+0+350+420+412+170+6.2+0+100</f>
        <v>2326.3999999999996</v>
      </c>
      <c r="AI9" s="6">
        <f t="shared" si="1"/>
        <v>5.4141038478043205E-2</v>
      </c>
      <c r="AJ9" s="6">
        <f t="shared" si="2"/>
        <v>1.3588900014304107E-2</v>
      </c>
      <c r="AK9" s="6">
        <f t="shared" si="3"/>
        <v>4.0909741095694473E-2</v>
      </c>
      <c r="AL9" s="6">
        <f t="shared" si="4"/>
        <v>9.4121012730653708E-2</v>
      </c>
      <c r="AM9" s="6">
        <f t="shared" si="5"/>
        <v>1.315977685595766E-2</v>
      </c>
      <c r="AN9" s="6">
        <f t="shared" si="6"/>
        <v>1.6638535259619511</v>
      </c>
      <c r="AO9" s="7">
        <v>3</v>
      </c>
      <c r="AP9" s="7">
        <v>3</v>
      </c>
      <c r="AQ9" s="7">
        <v>0</v>
      </c>
      <c r="AR9" s="10" t="s">
        <v>140</v>
      </c>
      <c r="AS9" s="3" t="s">
        <v>139</v>
      </c>
      <c r="AT9" s="10">
        <v>0</v>
      </c>
      <c r="AU9" s="7">
        <v>0</v>
      </c>
      <c r="AV9" s="10">
        <v>0</v>
      </c>
      <c r="AW9" s="3">
        <v>31</v>
      </c>
      <c r="AX9" s="3">
        <v>1</v>
      </c>
      <c r="AY9" s="3">
        <v>7.5</v>
      </c>
      <c r="AZ9" s="3">
        <v>1</v>
      </c>
      <c r="BA9" s="3">
        <v>1</v>
      </c>
      <c r="BB9" s="3">
        <v>1</v>
      </c>
      <c r="BC9" s="3">
        <v>1</v>
      </c>
      <c r="BD9" s="3">
        <v>1</v>
      </c>
    </row>
    <row r="10" spans="1:56" ht="20.100000000000001" customHeight="1" x14ac:dyDescent="0.25">
      <c r="A10" s="3" t="s">
        <v>19</v>
      </c>
      <c r="B10" s="3">
        <v>7</v>
      </c>
      <c r="C10" s="8">
        <v>44226</v>
      </c>
      <c r="D10" s="9">
        <v>0.83333333333333337</v>
      </c>
      <c r="E10" s="4">
        <v>53</v>
      </c>
      <c r="F10" s="3">
        <v>12</v>
      </c>
      <c r="G10" s="3">
        <v>3</v>
      </c>
      <c r="H10" s="3">
        <v>36</v>
      </c>
      <c r="I10" s="3">
        <v>1</v>
      </c>
      <c r="J10" s="9">
        <v>0.83333333333333337</v>
      </c>
      <c r="K10" s="3">
        <v>144</v>
      </c>
      <c r="L10" s="11">
        <f t="shared" si="8"/>
        <v>2.5999999999999943</v>
      </c>
      <c r="M10" s="5">
        <f t="shared" si="7"/>
        <v>1398.1999999999998</v>
      </c>
      <c r="N10" s="5">
        <v>31</v>
      </c>
      <c r="O10" s="11">
        <v>33.5</v>
      </c>
      <c r="P10" s="11">
        <v>11.25</v>
      </c>
      <c r="Q10" s="11" t="s">
        <v>141</v>
      </c>
      <c r="R10" s="11">
        <v>22.5</v>
      </c>
      <c r="S10" s="11">
        <v>22.5</v>
      </c>
      <c r="T10" s="11">
        <v>20</v>
      </c>
      <c r="U10" s="11">
        <v>20</v>
      </c>
      <c r="V10" s="11">
        <v>20</v>
      </c>
      <c r="W10" s="11">
        <v>20</v>
      </c>
      <c r="X10" s="11">
        <v>12</v>
      </c>
      <c r="Y10" s="11">
        <v>10</v>
      </c>
      <c r="Z10" s="3" t="s">
        <v>146</v>
      </c>
      <c r="AA10" s="10" t="s">
        <v>142</v>
      </c>
      <c r="AB10" s="3">
        <f>42+100+22.1+190+150+200+260+60+42+100+22.1+190+20</f>
        <v>1398.1999999999998</v>
      </c>
      <c r="AC10" s="3">
        <f>0.4+8+0.2+18+1+1+18+1+0.4+8+0.2+18+1.5</f>
        <v>75.7</v>
      </c>
      <c r="AD10" s="3">
        <f>0+5+0+1.5+0+0+0+5+0+0+5+0+1.5+1</f>
        <v>19</v>
      </c>
      <c r="AE10" s="3">
        <f>1+7+1.1+4+3+4+20+2+1+7+1.1+4+2</f>
        <v>57.2</v>
      </c>
      <c r="AF10" s="3">
        <f>10+0+4.8+4+33+44+5+12+10+0+4.8+4+0</f>
        <v>131.6</v>
      </c>
      <c r="AG10" s="3">
        <f>2.2+0+1.5+2+2+1+2+2+2.2+0+1.5+2+0</f>
        <v>18.399999999999999</v>
      </c>
      <c r="AH10" s="3">
        <f>412+170+6.2+0+280+0+350+420+412+170+6.2+0+100</f>
        <v>2326.3999999999996</v>
      </c>
      <c r="AI10" s="6">
        <f t="shared" si="1"/>
        <v>5.4141038478043205E-2</v>
      </c>
      <c r="AJ10" s="6">
        <f t="shared" si="2"/>
        <v>1.3588900014304107E-2</v>
      </c>
      <c r="AK10" s="6">
        <f t="shared" si="3"/>
        <v>4.0909741095694473E-2</v>
      </c>
      <c r="AL10" s="6">
        <f t="shared" si="4"/>
        <v>9.4121012730653708E-2</v>
      </c>
      <c r="AM10" s="6">
        <f t="shared" si="5"/>
        <v>1.315977685595766E-2</v>
      </c>
      <c r="AN10" s="6">
        <f t="shared" si="6"/>
        <v>1.6638535259619511</v>
      </c>
      <c r="AO10" s="7">
        <v>3</v>
      </c>
      <c r="AP10" s="7">
        <v>3</v>
      </c>
      <c r="AQ10" s="7">
        <v>0</v>
      </c>
      <c r="AR10" s="10" t="s">
        <v>140</v>
      </c>
      <c r="AS10" s="3" t="s">
        <v>139</v>
      </c>
      <c r="AT10" s="10">
        <v>0</v>
      </c>
      <c r="AU10" s="7">
        <v>0</v>
      </c>
      <c r="AV10" s="3">
        <v>0</v>
      </c>
      <c r="AW10" s="3">
        <v>31</v>
      </c>
      <c r="AX10" s="3">
        <v>1</v>
      </c>
      <c r="AY10" s="3">
        <v>7.5</v>
      </c>
      <c r="AZ10" s="3">
        <v>1</v>
      </c>
      <c r="BA10" s="3">
        <v>1</v>
      </c>
      <c r="BB10" s="3">
        <v>1</v>
      </c>
      <c r="BC10" s="3">
        <v>1</v>
      </c>
      <c r="BD10" s="3">
        <v>1</v>
      </c>
    </row>
    <row r="11" spans="1:56" ht="20.100000000000001" customHeight="1" x14ac:dyDescent="0.25">
      <c r="A11" s="3" t="s">
        <v>23</v>
      </c>
      <c r="B11" s="3">
        <v>8</v>
      </c>
      <c r="C11" s="8">
        <v>44227</v>
      </c>
      <c r="D11" s="9">
        <v>0.58333333333333337</v>
      </c>
      <c r="E11" s="4">
        <v>73</v>
      </c>
      <c r="F11" s="3">
        <v>0</v>
      </c>
      <c r="G11" s="3">
        <v>0</v>
      </c>
      <c r="H11" s="3">
        <v>0</v>
      </c>
      <c r="I11" s="3">
        <v>0</v>
      </c>
      <c r="J11" s="9">
        <v>0.25694444444444448</v>
      </c>
      <c r="K11" s="3">
        <v>139.4</v>
      </c>
      <c r="L11" s="11">
        <f t="shared" si="8"/>
        <v>-4.5999999999999943</v>
      </c>
      <c r="M11" s="5">
        <f t="shared" si="7"/>
        <v>1398.1999999999998</v>
      </c>
      <c r="N11" s="5">
        <v>31.5</v>
      </c>
      <c r="O11" s="11">
        <v>33.5</v>
      </c>
      <c r="P11" s="11">
        <v>11.5</v>
      </c>
      <c r="Q11" s="11">
        <v>11.5</v>
      </c>
      <c r="R11" s="11">
        <v>21.5</v>
      </c>
      <c r="S11" s="11">
        <v>21.5</v>
      </c>
      <c r="T11" s="11">
        <v>20</v>
      </c>
      <c r="U11" s="11">
        <v>20</v>
      </c>
      <c r="V11" s="11">
        <v>20</v>
      </c>
      <c r="W11" s="11">
        <v>20</v>
      </c>
      <c r="X11" s="11">
        <v>10</v>
      </c>
      <c r="Y11" s="11">
        <v>10</v>
      </c>
      <c r="Z11" s="3" t="s">
        <v>144</v>
      </c>
      <c r="AA11" s="10" t="s">
        <v>143</v>
      </c>
      <c r="AB11" s="5">
        <f>200+260+60+42+100+22.1+190+20+200+260+60+42+100+22.1+190+81+92+200+260+60+42+100+22.1+190+100+20+107</f>
        <v>3042.2999999999997</v>
      </c>
      <c r="AC11" s="6">
        <f>1+18+1+0.4+8+0.2+18+1.5+1+18+1+0.4+8+0.2+18+0+0+1+18+1+0.4+8+0.2+18+8+1.5+0</f>
        <v>150.80000000000001</v>
      </c>
      <c r="AD11" s="6">
        <f>0+5+0+5+0+1.5+1+0+5+0+0+5+0+1.5+0+0+0+5+0+0+5+0+1.5+4.5+1+0</f>
        <v>41</v>
      </c>
      <c r="AE11" s="6">
        <f>4+20+2+1+7+1.1+4+2+2+4+20+2+2+1+7+1.1+4+2+2+4+20+2+1+7+1.1+4+5+2+1</f>
        <v>135.29999999999998</v>
      </c>
      <c r="AF11" s="6">
        <f>44+5+12+10+0+4.8+4+0+44+5+12+10+0+4.8+4+21+24+44+5+12+10+0+4.8+4+2+0+28</f>
        <v>314.40000000000003</v>
      </c>
      <c r="AG11" s="6">
        <f>1+2+2+2.2+0+1.5+2+0+1+2+2+2.2+0+1.5+2+4+2+1+2+2+2.2+0+1.5+2+0+0+3</f>
        <v>41.1</v>
      </c>
      <c r="AH11" s="6">
        <f>0+350+420+412+170+6.2+0+100+0+350+420+412+170+6.2+0+2+0+0+350+420+412+170+6.2+0+360+100+3</f>
        <v>4639.5999999999995</v>
      </c>
      <c r="AI11" s="6">
        <f t="shared" si="1"/>
        <v>4.9567761233277462E-2</v>
      </c>
      <c r="AJ11" s="6">
        <f t="shared" si="2"/>
        <v>1.3476645958649707E-2</v>
      </c>
      <c r="AK11" s="6">
        <f t="shared" si="3"/>
        <v>4.4472931663544026E-2</v>
      </c>
      <c r="AL11" s="6">
        <f t="shared" si="4"/>
        <v>0.10334286559510898</v>
      </c>
      <c r="AM11" s="6">
        <f t="shared" si="5"/>
        <v>1.3509515826841536E-2</v>
      </c>
      <c r="AN11" s="6">
        <f t="shared" si="6"/>
        <v>1.5250304046280774</v>
      </c>
      <c r="AO11" s="7">
        <v>3</v>
      </c>
      <c r="AP11" s="7">
        <v>1</v>
      </c>
      <c r="AQ11" s="7">
        <v>0</v>
      </c>
      <c r="AR11" s="10">
        <v>0</v>
      </c>
      <c r="AS11" s="10">
        <v>0</v>
      </c>
      <c r="AT11" s="10">
        <v>0</v>
      </c>
      <c r="AU11" s="7">
        <v>0</v>
      </c>
      <c r="AV11" s="10">
        <v>0</v>
      </c>
      <c r="AW11" s="3">
        <v>31</v>
      </c>
      <c r="AX11" s="3">
        <v>1</v>
      </c>
      <c r="AY11" s="3">
        <v>7</v>
      </c>
      <c r="AZ11" s="3">
        <v>1</v>
      </c>
      <c r="BA11" s="3">
        <v>1</v>
      </c>
      <c r="BB11" s="3">
        <v>1</v>
      </c>
      <c r="BC11" s="3">
        <v>1</v>
      </c>
      <c r="BD11" s="3">
        <v>1</v>
      </c>
    </row>
    <row r="12" spans="1:56" ht="20.100000000000001" customHeight="1" x14ac:dyDescent="0.25">
      <c r="A12" s="3" t="s">
        <v>15</v>
      </c>
      <c r="B12" s="3">
        <v>9</v>
      </c>
      <c r="C12" s="8">
        <v>44228</v>
      </c>
      <c r="D12" s="9">
        <v>0.66666666666666663</v>
      </c>
      <c r="E12" s="4">
        <v>68</v>
      </c>
      <c r="F12" s="3">
        <v>9</v>
      </c>
      <c r="G12" s="3">
        <v>5</v>
      </c>
      <c r="H12" s="3">
        <v>45</v>
      </c>
      <c r="I12" s="3">
        <v>1</v>
      </c>
      <c r="J12" s="9">
        <v>0.32291666666666669</v>
      </c>
      <c r="K12" s="3">
        <v>140.80000000000001</v>
      </c>
      <c r="L12" s="11">
        <f t="shared" si="8"/>
        <v>1.4000000000000057</v>
      </c>
      <c r="M12" s="5">
        <f t="shared" si="7"/>
        <v>3042.2999999999997</v>
      </c>
      <c r="N12" s="5">
        <v>32.25</v>
      </c>
      <c r="O12" s="11">
        <v>34</v>
      </c>
      <c r="P12" s="11">
        <v>11.375</v>
      </c>
      <c r="Q12" s="11">
        <v>11.375</v>
      </c>
      <c r="R12" s="11">
        <v>21.5</v>
      </c>
      <c r="S12" s="11">
        <v>21.5</v>
      </c>
      <c r="T12" s="11">
        <v>20</v>
      </c>
      <c r="U12" s="11">
        <v>20</v>
      </c>
      <c r="V12" s="11">
        <v>22</v>
      </c>
      <c r="W12" s="11">
        <v>20</v>
      </c>
      <c r="X12" s="11">
        <v>12</v>
      </c>
      <c r="Y12" s="11">
        <v>12</v>
      </c>
      <c r="Z12" s="3" t="s">
        <v>151</v>
      </c>
      <c r="AA12" s="10" t="s">
        <v>153</v>
      </c>
      <c r="AB12" s="5">
        <f>200+260+60+42+100+22.1+190+100+20+107+200+260+60+42+100+22.1+190+100+20+200+160+100</f>
        <v>2555.1999999999998</v>
      </c>
      <c r="AC12" s="6">
        <f>1+18+1+1+8+0.2+18+8+1.5+0+1+18+1+0.4+8+0.2+18+8+1.5+2+10+8</f>
        <v>132.80000000000001</v>
      </c>
      <c r="AD12" s="6">
        <f>0+5+0+0+5+0+1.5+4.5+1+0+0+5+0+0+5+0+1.5+4.5+1+0+7+4.5</f>
        <v>45.5</v>
      </c>
      <c r="AE12" s="6">
        <f>4+20+2+1+7+1.1+4+5+2+1+4+20+2+1+7+1.1+4+5+2+4+12+5</f>
        <v>114.19999999999999</v>
      </c>
      <c r="AF12" s="6">
        <f>44+5+12+10+0+4.8+4+2+0+28+44+5+12+10+0+4.8+4+2+0+42+2+2</f>
        <v>237.60000000000002</v>
      </c>
      <c r="AG12" s="6">
        <f>1+2+2+2.2+0+1.5+2+0+0+3+1+2+2+2.2+0+1.5+2+0+0+4+0+0</f>
        <v>28.4</v>
      </c>
      <c r="AH12" s="6">
        <f>0+350+420+412+170+6.2+0+360+100+3+0+350+420+412+170+6.2+0+360+100+40+380+360</f>
        <v>4419.3999999999996</v>
      </c>
      <c r="AI12" s="6">
        <f t="shared" si="1"/>
        <v>5.1972448340638709E-2</v>
      </c>
      <c r="AJ12" s="6">
        <f t="shared" si="2"/>
        <v>1.7806825297432688E-2</v>
      </c>
      <c r="AK12" s="6">
        <f t="shared" si="3"/>
        <v>4.4693174702567312E-2</v>
      </c>
      <c r="AL12" s="6">
        <f t="shared" si="4"/>
        <v>9.2986850344395758E-2</v>
      </c>
      <c r="AM12" s="6">
        <f t="shared" si="5"/>
        <v>1.1114589855979963E-2</v>
      </c>
      <c r="AN12" s="6">
        <f t="shared" si="6"/>
        <v>1.7295710707576706</v>
      </c>
      <c r="AO12" s="7">
        <v>3</v>
      </c>
      <c r="AP12" s="7">
        <v>1</v>
      </c>
      <c r="AQ12" s="7">
        <v>0</v>
      </c>
      <c r="AR12" s="10" t="s">
        <v>148</v>
      </c>
      <c r="AS12" s="3" t="s">
        <v>150</v>
      </c>
      <c r="AT12" s="3" t="s">
        <v>149</v>
      </c>
      <c r="AU12" s="7">
        <v>20</v>
      </c>
      <c r="AV12" s="3">
        <v>-5</v>
      </c>
      <c r="AW12" s="3">
        <v>31</v>
      </c>
      <c r="AX12" s="3">
        <v>1</v>
      </c>
      <c r="AY12" s="3">
        <v>8</v>
      </c>
      <c r="AZ12" s="3">
        <v>1</v>
      </c>
      <c r="BA12" s="3">
        <v>1</v>
      </c>
      <c r="BB12" s="3">
        <v>1</v>
      </c>
      <c r="BC12" s="3">
        <v>1</v>
      </c>
      <c r="BD12" s="3">
        <v>1</v>
      </c>
    </row>
    <row r="13" spans="1:56" ht="20.100000000000001" customHeight="1" x14ac:dyDescent="0.25">
      <c r="A13" s="3" t="s">
        <v>15</v>
      </c>
      <c r="B13" s="3">
        <v>9</v>
      </c>
      <c r="C13" s="8">
        <v>44228</v>
      </c>
      <c r="D13" s="9">
        <v>0.66666666666666663</v>
      </c>
      <c r="E13" s="4">
        <v>68</v>
      </c>
      <c r="F13" s="3">
        <v>9</v>
      </c>
      <c r="G13" s="3">
        <v>5</v>
      </c>
      <c r="H13" s="3">
        <v>45</v>
      </c>
      <c r="I13" s="3">
        <v>1</v>
      </c>
      <c r="J13" s="9">
        <v>0.81597222222222221</v>
      </c>
      <c r="K13" s="3">
        <v>143</v>
      </c>
      <c r="L13" s="11">
        <f t="shared" si="8"/>
        <v>2.1999999999999886</v>
      </c>
      <c r="M13" s="5">
        <f t="shared" si="7"/>
        <v>2555.1999999999998</v>
      </c>
      <c r="N13" s="5">
        <v>32.5</v>
      </c>
      <c r="O13" s="11">
        <v>34</v>
      </c>
      <c r="P13" s="11">
        <v>11.25</v>
      </c>
      <c r="Q13" s="11">
        <v>11.5</v>
      </c>
      <c r="R13" s="11">
        <v>22.25</v>
      </c>
      <c r="S13" s="11">
        <v>22.5</v>
      </c>
      <c r="T13" s="11">
        <v>20</v>
      </c>
      <c r="U13" s="11">
        <v>22</v>
      </c>
      <c r="V13" s="11">
        <v>22</v>
      </c>
      <c r="W13" s="11">
        <v>20</v>
      </c>
      <c r="X13" s="11">
        <v>10</v>
      </c>
      <c r="Y13" s="11">
        <v>12</v>
      </c>
      <c r="Z13" s="3" t="s">
        <v>154</v>
      </c>
      <c r="AA13" s="10" t="s">
        <v>153</v>
      </c>
      <c r="AB13" s="5">
        <f>200+260+60+42+100+22.1+190+100+20+107+200+260+60+42+100+22.1+190+100+20+200+160+100</f>
        <v>2555.1999999999998</v>
      </c>
      <c r="AC13" s="6">
        <f>1+18+1+1+8+0.2+18+8+1.5+0+1+18+1+0.4+8+0.2+18+8+1.5+2+10+8</f>
        <v>132.80000000000001</v>
      </c>
      <c r="AD13" s="6">
        <f>0+5+0+0+5+0+1.5+4.5+1+0+0+5+0+0+5+0+1.5+4.5+1+0+7+4.5</f>
        <v>45.5</v>
      </c>
      <c r="AE13" s="6">
        <f>4+20+2+1+7+1.1+4+5+2+1+4+20+2+1+7+1.1+4+5+2+4+12+5</f>
        <v>114.19999999999999</v>
      </c>
      <c r="AF13" s="6">
        <f>44+5+12+10+0+4.8+4+2+0+28+44+5+12+10+0+4.8+4+2+0+42+2+2</f>
        <v>237.60000000000002</v>
      </c>
      <c r="AG13" s="6">
        <f>1+2+2+2.2+0+1.5+2+0+0+3+1+2+2+2.2+0+1.5+2+0+0+4+0+0</f>
        <v>28.4</v>
      </c>
      <c r="AH13" s="6">
        <f>0+350+420+412+170+6.2+0+360+100+3+0+350+420+412+170+6.2+0+360+100+40+380+360</f>
        <v>4419.3999999999996</v>
      </c>
      <c r="AI13" s="6">
        <f t="shared" si="1"/>
        <v>5.1972448340638709E-2</v>
      </c>
      <c r="AJ13" s="6">
        <f t="shared" si="2"/>
        <v>1.7806825297432688E-2</v>
      </c>
      <c r="AK13" s="6">
        <f t="shared" si="3"/>
        <v>4.4693174702567312E-2</v>
      </c>
      <c r="AL13" s="6">
        <f t="shared" si="4"/>
        <v>9.2986850344395758E-2</v>
      </c>
      <c r="AM13" s="6">
        <f t="shared" si="5"/>
        <v>1.1114589855979963E-2</v>
      </c>
      <c r="AN13" s="6">
        <f t="shared" si="6"/>
        <v>1.7295710707576706</v>
      </c>
      <c r="AO13" s="7">
        <v>3</v>
      </c>
      <c r="AP13" s="7">
        <v>1</v>
      </c>
      <c r="AQ13" s="7">
        <v>0</v>
      </c>
      <c r="AR13" s="10" t="s">
        <v>148</v>
      </c>
      <c r="AS13" s="3" t="s">
        <v>150</v>
      </c>
      <c r="AT13" s="3" t="s">
        <v>149</v>
      </c>
      <c r="AU13" s="7">
        <v>20</v>
      </c>
      <c r="AV13" s="3">
        <v>-5</v>
      </c>
      <c r="AW13" s="3">
        <v>31</v>
      </c>
      <c r="AX13" s="3">
        <v>1</v>
      </c>
      <c r="AY13" s="3">
        <v>8</v>
      </c>
      <c r="AZ13" s="3">
        <v>1</v>
      </c>
      <c r="BA13" s="3">
        <v>1</v>
      </c>
      <c r="BB13" s="3">
        <v>1</v>
      </c>
      <c r="BC13" s="3">
        <v>1</v>
      </c>
      <c r="BD13" s="3">
        <v>1</v>
      </c>
    </row>
    <row r="14" spans="1:56" ht="20.100000000000001" customHeight="1" x14ac:dyDescent="0.25">
      <c r="A14" s="3" t="s">
        <v>16</v>
      </c>
      <c r="B14" s="3">
        <v>10</v>
      </c>
      <c r="C14" s="8">
        <v>44229</v>
      </c>
      <c r="D14" s="9">
        <v>0.23958333333333334</v>
      </c>
      <c r="E14" s="4">
        <v>52</v>
      </c>
      <c r="F14" s="3">
        <v>0</v>
      </c>
      <c r="G14" s="3">
        <v>0</v>
      </c>
      <c r="H14" s="3">
        <v>0</v>
      </c>
      <c r="I14" s="3">
        <v>0</v>
      </c>
      <c r="J14" s="9">
        <v>0.23958333333333334</v>
      </c>
      <c r="K14" s="3">
        <v>140.80000000000001</v>
      </c>
      <c r="L14" s="11">
        <f t="shared" si="8"/>
        <v>-2.1999999999999886</v>
      </c>
      <c r="M14" s="5">
        <f t="shared" si="7"/>
        <v>2555.1999999999998</v>
      </c>
      <c r="N14" s="11">
        <v>32</v>
      </c>
      <c r="O14" s="11">
        <v>34</v>
      </c>
      <c r="P14" s="11">
        <v>11.75</v>
      </c>
      <c r="Q14" s="11">
        <v>11.75</v>
      </c>
      <c r="R14" s="11">
        <v>21.5</v>
      </c>
      <c r="S14" s="11">
        <v>21.5</v>
      </c>
      <c r="T14" s="11">
        <v>22</v>
      </c>
      <c r="U14" s="11">
        <v>22</v>
      </c>
      <c r="V14" s="11">
        <v>22</v>
      </c>
      <c r="W14" s="11">
        <v>22</v>
      </c>
      <c r="X14" s="11">
        <v>12</v>
      </c>
      <c r="Y14" s="11">
        <v>12</v>
      </c>
      <c r="Z14" s="3" t="s">
        <v>159</v>
      </c>
      <c r="AA14" s="10" t="s">
        <v>157</v>
      </c>
      <c r="AB14" s="5">
        <f>200+260+60+42+100+22.1+190+100+20+107+81+1440+210+180+100+200+160+100+81</f>
        <v>3653.1</v>
      </c>
      <c r="AC14" s="6">
        <f>1+18+1+0.4+8+0.2+18+8+1.5+0+0+12+15+15+0+2+10+8+0</f>
        <v>118.1</v>
      </c>
      <c r="AD14" s="6">
        <f>0+5+0+0+5+0+1.5+4.5+1+0+0+0+4.5+10.5+0+0+7+4.5+0</f>
        <v>43.5</v>
      </c>
      <c r="AE14" s="6">
        <f>4+20+2+1+7+1.1+4+5+2+1+2+12+18+3+0+4+12+5+2</f>
        <v>105.1</v>
      </c>
      <c r="AF14" s="6">
        <f>44+5+12+10+0+4.8+4+2+0+28+21+324+0+6+25+42+2+2+21</f>
        <v>552.79999999999995</v>
      </c>
      <c r="AG14" s="6">
        <f>1+2+2+2.2+0+1.5+2+0+0+3+4+6+0+0+2+4+0+0+4</f>
        <v>33.700000000000003</v>
      </c>
      <c r="AH14" s="6">
        <f>0+350+420+412+170+6.2+0+360+100+3+2+2940+210+45+0+40+380+360+2</f>
        <v>5800.2</v>
      </c>
      <c r="AI14" s="6">
        <f t="shared" si="1"/>
        <v>3.2328707125455089E-2</v>
      </c>
      <c r="AJ14" s="6">
        <f t="shared" si="2"/>
        <v>1.1907694834524103E-2</v>
      </c>
      <c r="AK14" s="6">
        <f t="shared" si="3"/>
        <v>2.8770085680654787E-2</v>
      </c>
      <c r="AL14" s="6">
        <f t="shared" si="4"/>
        <v>0.15132353343735458</v>
      </c>
      <c r="AM14" s="6">
        <f t="shared" si="5"/>
        <v>9.2250417453669502E-3</v>
      </c>
      <c r="AN14" s="6">
        <f t="shared" si="6"/>
        <v>1.5877473926254413</v>
      </c>
      <c r="AO14" s="7">
        <v>3</v>
      </c>
      <c r="AP14" s="7">
        <v>1</v>
      </c>
      <c r="AQ14" s="7">
        <v>0</v>
      </c>
      <c r="AR14" s="7">
        <v>0</v>
      </c>
      <c r="AS14" s="7">
        <v>0</v>
      </c>
      <c r="AT14" s="10">
        <v>0</v>
      </c>
      <c r="AU14" s="7">
        <v>0</v>
      </c>
      <c r="AV14" s="3">
        <v>0</v>
      </c>
      <c r="AW14" s="3">
        <v>31</v>
      </c>
      <c r="AX14" s="3">
        <v>1</v>
      </c>
      <c r="AY14" s="3">
        <v>8</v>
      </c>
      <c r="AZ14" s="3">
        <v>1</v>
      </c>
      <c r="BA14" s="3">
        <v>1</v>
      </c>
      <c r="BB14" s="3">
        <v>0</v>
      </c>
      <c r="BC14" s="3">
        <v>1</v>
      </c>
      <c r="BD14" s="3">
        <v>1</v>
      </c>
    </row>
    <row r="15" spans="1:56" ht="20.100000000000001" customHeight="1" x14ac:dyDescent="0.25">
      <c r="A15" s="3" t="s">
        <v>17</v>
      </c>
      <c r="B15" s="3">
        <v>11</v>
      </c>
      <c r="C15" s="8">
        <v>44230</v>
      </c>
      <c r="D15" s="9">
        <v>0.70833333333333337</v>
      </c>
      <c r="E15" s="4">
        <v>60</v>
      </c>
      <c r="F15" s="3">
        <v>15</v>
      </c>
      <c r="G15" s="3">
        <v>3</v>
      </c>
      <c r="H15" s="3">
        <v>45</v>
      </c>
      <c r="I15" s="3">
        <v>1</v>
      </c>
      <c r="J15" s="9">
        <v>0.25</v>
      </c>
      <c r="K15" s="3">
        <v>141.80000000000001</v>
      </c>
      <c r="L15" s="11">
        <f t="shared" si="8"/>
        <v>1</v>
      </c>
      <c r="M15" s="5">
        <f t="shared" si="7"/>
        <v>3653.1</v>
      </c>
      <c r="N15" s="11">
        <v>32.75</v>
      </c>
      <c r="O15" s="11">
        <v>34.5</v>
      </c>
      <c r="P15" s="11">
        <v>11.5</v>
      </c>
      <c r="Q15" s="11">
        <v>11.5</v>
      </c>
      <c r="R15" s="11">
        <v>21.5</v>
      </c>
      <c r="S15" s="11">
        <v>22</v>
      </c>
      <c r="T15" s="11">
        <v>22</v>
      </c>
      <c r="U15" s="11">
        <v>22</v>
      </c>
      <c r="V15" s="11">
        <v>20</v>
      </c>
      <c r="W15" s="11">
        <v>18</v>
      </c>
      <c r="X15" s="11">
        <v>14</v>
      </c>
      <c r="Y15" s="11">
        <v>12</v>
      </c>
      <c r="Z15" s="3" t="s">
        <v>162</v>
      </c>
      <c r="AA15" s="10" t="s">
        <v>163</v>
      </c>
      <c r="AB15" s="5">
        <f>200+160+200+81+322+52.8+190+140+100+80</f>
        <v>1525.8</v>
      </c>
      <c r="AC15" s="6">
        <f>2+10+16+0+29+2.31+18+10+1+5</f>
        <v>93.31</v>
      </c>
      <c r="AD15" s="6">
        <f>0+7+9+0+4+0.66+1.5+3+0+3.5</f>
        <v>28.66</v>
      </c>
      <c r="AE15" s="6">
        <f>4+12+10+2+4+0.66+4+12+2+6</f>
        <v>56.66</v>
      </c>
      <c r="AF15" s="6">
        <f>42+2+4+21+17+6.93+4+0+21+1</f>
        <v>118.93</v>
      </c>
      <c r="AG15" s="6">
        <f>4+0+2+4+18+0.66+2+0+2+0</f>
        <v>32.659999999999997</v>
      </c>
      <c r="AH15" s="6">
        <f>40+380+720+2+14+0+0+140+20+190</f>
        <v>1506</v>
      </c>
      <c r="AI15" s="6">
        <f t="shared" si="1"/>
        <v>6.1154804037226375E-2</v>
      </c>
      <c r="AJ15" s="6">
        <f t="shared" si="2"/>
        <v>1.8783588936951107E-2</v>
      </c>
      <c r="AK15" s="6">
        <f t="shared" si="3"/>
        <v>3.7134617905361121E-2</v>
      </c>
      <c r="AL15" s="6">
        <f t="shared" si="4"/>
        <v>7.7945995543321545E-2</v>
      </c>
      <c r="AM15" s="6">
        <f t="shared" si="5"/>
        <v>2.1405164503866824E-2</v>
      </c>
      <c r="AN15" s="6">
        <f t="shared" si="6"/>
        <v>0.98702320094376728</v>
      </c>
      <c r="AO15" s="7">
        <v>3</v>
      </c>
      <c r="AP15" s="7">
        <v>2</v>
      </c>
      <c r="AQ15" s="7">
        <v>0</v>
      </c>
      <c r="AR15" s="10" t="s">
        <v>160</v>
      </c>
      <c r="AS15" s="3" t="s">
        <v>161</v>
      </c>
      <c r="AU15" s="7">
        <f>5*7</f>
        <v>35</v>
      </c>
      <c r="AV15" s="3">
        <v>0</v>
      </c>
      <c r="AW15" s="3">
        <v>31</v>
      </c>
      <c r="AX15" s="3">
        <v>1</v>
      </c>
      <c r="AY15" s="3">
        <v>8.5</v>
      </c>
      <c r="AZ15" s="3">
        <v>1</v>
      </c>
      <c r="BA15" s="3">
        <v>1</v>
      </c>
      <c r="BB15" s="3">
        <v>1</v>
      </c>
      <c r="BC15" s="3">
        <v>1</v>
      </c>
      <c r="BD15" s="3">
        <v>1</v>
      </c>
    </row>
    <row r="16" spans="1:56" ht="20.100000000000001" customHeight="1" x14ac:dyDescent="0.25">
      <c r="A16" s="3" t="s">
        <v>17</v>
      </c>
      <c r="B16" s="3">
        <v>11</v>
      </c>
      <c r="C16" s="8">
        <v>44230</v>
      </c>
      <c r="D16" s="9">
        <v>0.70833333333333337</v>
      </c>
      <c r="E16" s="4">
        <v>60</v>
      </c>
      <c r="F16" s="3">
        <v>15</v>
      </c>
      <c r="G16" s="3">
        <v>3</v>
      </c>
      <c r="H16" s="3">
        <v>45</v>
      </c>
      <c r="I16" s="3">
        <v>1</v>
      </c>
      <c r="J16" s="9">
        <v>0.83333333333333337</v>
      </c>
      <c r="K16" s="3">
        <v>144.80000000000001</v>
      </c>
      <c r="L16" s="11">
        <f t="shared" si="8"/>
        <v>3</v>
      </c>
      <c r="M16" s="5">
        <f t="shared" si="7"/>
        <v>1525.8</v>
      </c>
      <c r="N16" s="11">
        <v>31.5</v>
      </c>
      <c r="O16" s="11">
        <v>33.5</v>
      </c>
      <c r="P16" s="11">
        <v>11.5</v>
      </c>
      <c r="Q16" s="11">
        <v>11.5</v>
      </c>
      <c r="R16" s="11">
        <v>22</v>
      </c>
      <c r="S16" s="11">
        <v>22</v>
      </c>
      <c r="T16" s="11">
        <v>22</v>
      </c>
      <c r="U16" s="11">
        <v>20</v>
      </c>
      <c r="V16" s="11">
        <v>20</v>
      </c>
      <c r="W16" s="11">
        <v>20</v>
      </c>
      <c r="X16" s="11">
        <v>10</v>
      </c>
      <c r="Y16" s="11">
        <v>10</v>
      </c>
      <c r="Z16" s="3" t="s">
        <v>162</v>
      </c>
      <c r="AA16" s="10" t="s">
        <v>163</v>
      </c>
      <c r="AB16" s="5">
        <f>200+160+200+81+322+52.8+190+140+100+80</f>
        <v>1525.8</v>
      </c>
      <c r="AC16" s="6">
        <f>2+10+16+0+29+2.31+18+10+1+5</f>
        <v>93.31</v>
      </c>
      <c r="AD16" s="6">
        <f>0+7+9+0+4+0.66+1.5+3+0+3.5</f>
        <v>28.66</v>
      </c>
      <c r="AE16" s="6">
        <f>4+12+10+2+4+0.66+4+12+2+6</f>
        <v>56.66</v>
      </c>
      <c r="AF16" s="6">
        <f>42+2+4+21+17+6.93+4+0+21+1</f>
        <v>118.93</v>
      </c>
      <c r="AG16" s="6">
        <f>4+0+2+4+18+0.66+2+0+2+0</f>
        <v>32.659999999999997</v>
      </c>
      <c r="AH16" s="6">
        <f>40+380+720+2+14+0+0+140+20+190</f>
        <v>1506</v>
      </c>
      <c r="AI16" s="6">
        <f t="shared" si="1"/>
        <v>6.1154804037226375E-2</v>
      </c>
      <c r="AJ16" s="6">
        <f t="shared" si="2"/>
        <v>1.8783588936951107E-2</v>
      </c>
      <c r="AK16" s="6">
        <f t="shared" si="3"/>
        <v>3.7134617905361121E-2</v>
      </c>
      <c r="AL16" s="6">
        <f t="shared" si="4"/>
        <v>7.7945995543321545E-2</v>
      </c>
      <c r="AM16" s="6">
        <f t="shared" si="5"/>
        <v>2.1405164503866824E-2</v>
      </c>
      <c r="AN16" s="6">
        <f t="shared" si="6"/>
        <v>0.98702320094376728</v>
      </c>
      <c r="AO16" s="7">
        <v>3</v>
      </c>
      <c r="AP16" s="7">
        <v>2</v>
      </c>
      <c r="AQ16" s="7">
        <v>0</v>
      </c>
      <c r="AR16" s="10" t="s">
        <v>160</v>
      </c>
      <c r="AS16" s="3" t="s">
        <v>161</v>
      </c>
      <c r="AU16" s="7">
        <f>5*7</f>
        <v>35</v>
      </c>
      <c r="AV16" s="3">
        <v>0</v>
      </c>
      <c r="AW16" s="3">
        <v>31</v>
      </c>
      <c r="AX16" s="3">
        <v>1</v>
      </c>
      <c r="AY16" s="3">
        <v>8.5</v>
      </c>
      <c r="AZ16" s="3">
        <v>1</v>
      </c>
      <c r="BA16" s="3">
        <v>1</v>
      </c>
      <c r="BB16" s="3">
        <v>1</v>
      </c>
      <c r="BC16" s="3">
        <v>1</v>
      </c>
      <c r="BD16" s="3">
        <v>1</v>
      </c>
    </row>
    <row r="17" spans="1:56" ht="20.100000000000001" customHeight="1" x14ac:dyDescent="0.25">
      <c r="A17" s="3" t="s">
        <v>18</v>
      </c>
      <c r="B17" s="3">
        <v>12</v>
      </c>
      <c r="C17" s="8">
        <v>44231</v>
      </c>
      <c r="D17" s="9">
        <v>0.58333333333333337</v>
      </c>
      <c r="E17" s="4">
        <v>66</v>
      </c>
      <c r="F17" s="3">
        <v>0</v>
      </c>
      <c r="G17" s="3">
        <v>0</v>
      </c>
      <c r="H17" s="3">
        <v>0</v>
      </c>
      <c r="I17" s="3">
        <v>0</v>
      </c>
      <c r="J17" s="9">
        <v>0.21527777777777779</v>
      </c>
      <c r="K17" s="3">
        <v>139.4</v>
      </c>
      <c r="L17" s="11">
        <f t="shared" si="8"/>
        <v>-5.4000000000000057</v>
      </c>
      <c r="M17" s="5">
        <f t="shared" si="7"/>
        <v>1525.8</v>
      </c>
      <c r="N17" s="11">
        <v>31.5</v>
      </c>
      <c r="O17" s="11">
        <v>33.25</v>
      </c>
      <c r="P17" s="11">
        <v>11.5</v>
      </c>
      <c r="Q17" s="11">
        <v>11.5</v>
      </c>
      <c r="R17" s="11">
        <v>21.5</v>
      </c>
      <c r="S17" s="11">
        <v>21.5</v>
      </c>
      <c r="T17" s="11">
        <v>20</v>
      </c>
      <c r="U17" s="11">
        <v>20</v>
      </c>
      <c r="V17" s="11">
        <v>20</v>
      </c>
      <c r="W17" s="11">
        <v>20</v>
      </c>
      <c r="X17" s="11">
        <v>10</v>
      </c>
      <c r="Y17" s="11">
        <v>10</v>
      </c>
      <c r="Z17" s="3" t="s">
        <v>165</v>
      </c>
      <c r="AA17" s="10" t="s">
        <v>166</v>
      </c>
      <c r="AB17" s="5">
        <f>200+160+140+300+42+200+160+100+130+243+92+105+150+160+160+322</f>
        <v>2664</v>
      </c>
      <c r="AC17" s="6">
        <f>2+10+10+0+0+2+10+8+0+0+0+1+7+10+29</f>
        <v>89</v>
      </c>
      <c r="AD17" s="6">
        <f>0+7+3+0+0+0+7+4.5+0+0+0+0+0+2+7+4</f>
        <v>34.5</v>
      </c>
      <c r="AE17" s="6">
        <f>4+12+12+0+1+4+12+5+3+6+2+1+3+2+12+4</f>
        <v>83</v>
      </c>
      <c r="AF17" s="6">
        <f>42+2+0+75+13+42+2+2+23+63+24+27+33+21+2+17</f>
        <v>388</v>
      </c>
      <c r="AG17" s="6">
        <f>4+0+0+6+2+4+0+0+2+12+2+3+2+2+0+18</f>
        <v>57</v>
      </c>
      <c r="AH17" s="6">
        <f>40+380+140+0+1+40+380+360+620+6+0+1+280+0+380+14</f>
        <v>2642</v>
      </c>
      <c r="AI17" s="6">
        <f t="shared" si="1"/>
        <v>3.3408408408408412E-2</v>
      </c>
      <c r="AJ17" s="6">
        <f t="shared" si="2"/>
        <v>1.295045045045045E-2</v>
      </c>
      <c r="AK17" s="6">
        <f t="shared" si="3"/>
        <v>3.1156156156156155E-2</v>
      </c>
      <c r="AL17" s="6">
        <f t="shared" si="4"/>
        <v>0.14564564564564564</v>
      </c>
      <c r="AM17" s="6">
        <f t="shared" si="5"/>
        <v>2.1396396396396396E-2</v>
      </c>
      <c r="AN17" s="6">
        <f t="shared" si="6"/>
        <v>0.99174174174174179</v>
      </c>
      <c r="AO17" s="7">
        <v>3</v>
      </c>
      <c r="AP17" s="7">
        <v>1</v>
      </c>
      <c r="AQ17" s="7">
        <v>0</v>
      </c>
      <c r="AR17" s="7">
        <v>0</v>
      </c>
      <c r="AS17" s="7">
        <v>0</v>
      </c>
      <c r="AT17" s="7">
        <v>0</v>
      </c>
      <c r="AU17" s="7">
        <v>0</v>
      </c>
      <c r="AV17" s="3">
        <v>0</v>
      </c>
      <c r="AW17" s="3">
        <v>31</v>
      </c>
      <c r="AX17" s="3">
        <v>1</v>
      </c>
      <c r="AY17" s="3">
        <v>6.75</v>
      </c>
      <c r="AZ17" s="3">
        <v>1</v>
      </c>
      <c r="BA17" s="3">
        <v>1</v>
      </c>
      <c r="BB17" s="3">
        <v>1</v>
      </c>
      <c r="BC17" s="3">
        <v>1</v>
      </c>
      <c r="BD17" s="3">
        <v>1</v>
      </c>
    </row>
    <row r="18" spans="1:56" ht="20.100000000000001" customHeight="1" x14ac:dyDescent="0.25">
      <c r="A18" s="3" t="s">
        <v>138</v>
      </c>
      <c r="B18" s="3">
        <v>13</v>
      </c>
      <c r="C18" s="8">
        <v>44232</v>
      </c>
      <c r="D18" s="9">
        <v>0.27083333333333331</v>
      </c>
      <c r="E18" s="4">
        <v>43</v>
      </c>
      <c r="F18" s="3">
        <v>0</v>
      </c>
      <c r="G18" s="3">
        <v>0</v>
      </c>
      <c r="H18" s="3">
        <v>0</v>
      </c>
      <c r="I18" s="3">
        <v>0</v>
      </c>
      <c r="J18" s="9">
        <v>0.27083333333333331</v>
      </c>
      <c r="K18" s="3">
        <v>139.4</v>
      </c>
      <c r="L18" s="11">
        <f t="shared" si="8"/>
        <v>0</v>
      </c>
      <c r="M18" s="5">
        <f t="shared" si="7"/>
        <v>2664</v>
      </c>
      <c r="N18" s="11">
        <v>32</v>
      </c>
      <c r="O18" s="11">
        <v>33.5</v>
      </c>
      <c r="P18" s="11">
        <v>11.5</v>
      </c>
      <c r="Q18" s="11">
        <v>11.75</v>
      </c>
      <c r="R18" s="11">
        <v>21.5</v>
      </c>
      <c r="S18" s="11">
        <v>21.5</v>
      </c>
      <c r="T18" s="11">
        <v>22</v>
      </c>
      <c r="U18" s="11">
        <v>22</v>
      </c>
      <c r="V18" s="11">
        <v>20</v>
      </c>
      <c r="W18" s="11">
        <v>20</v>
      </c>
      <c r="X18" s="11">
        <v>10</v>
      </c>
      <c r="Y18" s="11">
        <v>10</v>
      </c>
      <c r="Z18" s="3" t="s">
        <v>167</v>
      </c>
      <c r="AA18" s="10" t="s">
        <v>171</v>
      </c>
      <c r="AB18" s="12">
        <f>200+160+100+130+162+105+57+107+241.5+90+200+160+100+90+50+60</f>
        <v>2012.5</v>
      </c>
      <c r="AC18" s="6">
        <f>2+10+8+3+0+0+0+4.7+21.75+2+2+10+8+2+1+4</f>
        <v>78.45</v>
      </c>
      <c r="AD18" s="6">
        <f>0+7+4.5+0+0+0+0+1.3+3+2+0+7+4.5+2+0+2.5</f>
        <v>33.799999999999997</v>
      </c>
      <c r="AE18" s="6">
        <f>4+12+5+3+4+1+0+1.3+3+3+4+12+5+3+1+5</f>
        <v>66.3</v>
      </c>
      <c r="AF18" s="6">
        <f>42+2+2+23+42+27+15+14+12.75+18+42+2+2+18+11+1</f>
        <v>273.75</v>
      </c>
      <c r="AG18" s="6">
        <f>4+0+0+2+8+3+3+1.3+13.5+4+4+0+0+4+1+0</f>
        <v>47.8</v>
      </c>
      <c r="AH18" s="6">
        <f>40+380+360+620+4+1+1+0+10.5+500+40+380+360+500+10+140</f>
        <v>3346.5</v>
      </c>
      <c r="AI18" s="6">
        <f t="shared" si="1"/>
        <v>3.8981366459627333E-2</v>
      </c>
      <c r="AJ18" s="6">
        <f t="shared" si="2"/>
        <v>1.6795031055900619E-2</v>
      </c>
      <c r="AK18" s="6">
        <f t="shared" si="3"/>
        <v>3.2944099378881986E-2</v>
      </c>
      <c r="AL18" s="6">
        <f t="shared" si="4"/>
        <v>0.13602484472049689</v>
      </c>
      <c r="AM18" s="6">
        <f t="shared" si="5"/>
        <v>2.3751552795031054E-2</v>
      </c>
      <c r="AN18" s="6">
        <f t="shared" si="6"/>
        <v>1.6628571428571428</v>
      </c>
      <c r="AO18" s="7">
        <v>3</v>
      </c>
      <c r="AP18" s="7">
        <v>2</v>
      </c>
      <c r="AQ18" s="7">
        <v>0</v>
      </c>
      <c r="AR18" s="7">
        <v>0</v>
      </c>
      <c r="AS18" s="7">
        <v>0</v>
      </c>
      <c r="AT18" s="7">
        <v>0</v>
      </c>
      <c r="AU18" s="7">
        <v>0</v>
      </c>
      <c r="AV18" s="3">
        <v>0</v>
      </c>
      <c r="AW18" s="3">
        <v>31</v>
      </c>
      <c r="AX18" s="3">
        <v>1</v>
      </c>
      <c r="AY18" s="3">
        <v>6</v>
      </c>
      <c r="AZ18" s="3">
        <v>1</v>
      </c>
      <c r="BA18" s="3">
        <v>1</v>
      </c>
      <c r="BB18" s="3">
        <v>1</v>
      </c>
      <c r="BC18" s="3">
        <v>1</v>
      </c>
      <c r="BD18" s="3">
        <v>1</v>
      </c>
    </row>
    <row r="19" spans="1:56" ht="20.100000000000001" customHeight="1" x14ac:dyDescent="0.25">
      <c r="A19" s="3" t="s">
        <v>19</v>
      </c>
      <c r="B19" s="3">
        <v>14</v>
      </c>
      <c r="C19" s="8">
        <v>44233</v>
      </c>
      <c r="D19" s="9">
        <v>0.63541666666666663</v>
      </c>
      <c r="E19" s="4">
        <v>78</v>
      </c>
      <c r="F19" s="3">
        <v>9</v>
      </c>
      <c r="G19" s="3">
        <v>5</v>
      </c>
      <c r="H19" s="3">
        <v>45</v>
      </c>
      <c r="I19" s="3">
        <v>1</v>
      </c>
      <c r="J19" s="9">
        <v>0.25</v>
      </c>
      <c r="K19" s="3">
        <v>141.80000000000001</v>
      </c>
      <c r="L19" s="11">
        <f t="shared" si="8"/>
        <v>2.4000000000000057</v>
      </c>
      <c r="M19" s="5">
        <f t="shared" si="7"/>
        <v>2012.5</v>
      </c>
      <c r="N19" s="11">
        <v>32</v>
      </c>
      <c r="O19" s="11">
        <v>33.75</v>
      </c>
      <c r="P19" s="11">
        <v>11.5</v>
      </c>
      <c r="Q19" s="11">
        <v>11.5</v>
      </c>
      <c r="R19" s="11">
        <v>21.5</v>
      </c>
      <c r="S19" s="11">
        <v>21.5</v>
      </c>
      <c r="T19" s="11">
        <v>22</v>
      </c>
      <c r="U19" s="11">
        <v>22</v>
      </c>
      <c r="V19" s="11">
        <v>20</v>
      </c>
      <c r="W19" s="11">
        <v>20</v>
      </c>
      <c r="X19" s="11">
        <v>10</v>
      </c>
      <c r="Y19" s="11">
        <v>12</v>
      </c>
      <c r="Z19" s="3" t="s">
        <v>176</v>
      </c>
      <c r="AA19" s="10" t="s">
        <v>175</v>
      </c>
      <c r="AB19" s="5">
        <f>350+180+80+100+92+322+162+53.5+140+330+260+60+16+37+40+8+20+42</f>
        <v>2292.5</v>
      </c>
      <c r="AC19" s="6">
        <f>3.5+12+6+8+0+29+0+2.35+10+2.5+18+1+0.17+0+0+0+1.5+0</f>
        <v>94.02</v>
      </c>
      <c r="AD19" s="6">
        <f>0+7.5+4+4.5+0+1+3+0.5+5+0+0.02+0+0+0+1+0</f>
        <v>26.52</v>
      </c>
      <c r="AE19" s="6">
        <f>7+15+5+5+2+4+4+1+12+23+20+2+1.5+1+1+0.77+2+1</f>
        <v>107.27</v>
      </c>
      <c r="AF19" s="6">
        <f>73.5+3+0+2+24+17+42+7+0+61+5+12+3+7+10+1.1+0+13</f>
        <v>280.60000000000002</v>
      </c>
      <c r="AG19" s="6">
        <f>7+0+0+0+2+18+8+1+0+11+2+2+1+2+3+0.5+0+2</f>
        <v>59.5</v>
      </c>
      <c r="AH19" s="6">
        <f>70+420+130+360+0+14+4+0+140+0+350+420+15.02+5+0+8+100+1</f>
        <v>2037.02</v>
      </c>
      <c r="AI19" s="6">
        <f t="shared" si="1"/>
        <v>4.1011995637949834E-2</v>
      </c>
      <c r="AJ19" s="6">
        <f t="shared" si="2"/>
        <v>1.1568157033805889E-2</v>
      </c>
      <c r="AK19" s="6">
        <f t="shared" si="3"/>
        <v>4.6791712104689201E-2</v>
      </c>
      <c r="AL19" s="6">
        <f t="shared" si="4"/>
        <v>0.12239912758996729</v>
      </c>
      <c r="AM19" s="6">
        <f t="shared" si="5"/>
        <v>2.5954198473282442E-2</v>
      </c>
      <c r="AN19" s="6">
        <f t="shared" si="6"/>
        <v>0.88855834242093779</v>
      </c>
      <c r="AO19" s="7">
        <v>3</v>
      </c>
      <c r="AP19" s="7">
        <v>1</v>
      </c>
      <c r="AQ19" s="7">
        <v>0</v>
      </c>
      <c r="AR19" s="10" t="s">
        <v>172</v>
      </c>
      <c r="AS19" s="7">
        <v>0</v>
      </c>
      <c r="AT19" s="7">
        <v>0</v>
      </c>
      <c r="AU19" s="7">
        <v>0</v>
      </c>
      <c r="AV19" s="3">
        <v>0</v>
      </c>
      <c r="AW19" s="3">
        <v>31</v>
      </c>
      <c r="AX19" s="3">
        <v>1</v>
      </c>
      <c r="AY19" s="3">
        <v>5.5</v>
      </c>
      <c r="AZ19" s="3">
        <v>1</v>
      </c>
      <c r="BA19" s="3">
        <v>1</v>
      </c>
      <c r="BB19" s="3">
        <v>1</v>
      </c>
      <c r="BC19" s="3">
        <v>1</v>
      </c>
      <c r="BD19" s="3">
        <v>1</v>
      </c>
    </row>
    <row r="20" spans="1:56" ht="20.100000000000001" customHeight="1" x14ac:dyDescent="0.25">
      <c r="A20" s="3" t="s">
        <v>19</v>
      </c>
      <c r="B20" s="3">
        <v>14</v>
      </c>
      <c r="C20" s="8">
        <v>44233</v>
      </c>
      <c r="D20" s="9">
        <v>0.63541666666666663</v>
      </c>
      <c r="E20" s="4">
        <v>78</v>
      </c>
      <c r="F20" s="3">
        <v>9</v>
      </c>
      <c r="G20" s="3">
        <v>5</v>
      </c>
      <c r="H20" s="3">
        <v>45</v>
      </c>
      <c r="I20" s="3">
        <v>1</v>
      </c>
      <c r="J20" s="9">
        <v>0.83333333333333337</v>
      </c>
      <c r="K20" s="3">
        <v>143.6</v>
      </c>
      <c r="L20" s="11">
        <f t="shared" si="8"/>
        <v>1.7999999999999829</v>
      </c>
      <c r="M20" s="5">
        <f t="shared" si="7"/>
        <v>2292.5</v>
      </c>
      <c r="N20" s="11">
        <v>31.5</v>
      </c>
      <c r="O20" s="11">
        <v>33.5</v>
      </c>
      <c r="P20" s="11">
        <v>11.25</v>
      </c>
      <c r="Q20" s="11">
        <v>11.25</v>
      </c>
      <c r="R20" s="11">
        <v>21.5</v>
      </c>
      <c r="S20" s="11">
        <v>21.5</v>
      </c>
      <c r="T20" s="11">
        <v>20</v>
      </c>
      <c r="U20" s="11">
        <v>20</v>
      </c>
      <c r="V20" s="11">
        <v>22</v>
      </c>
      <c r="W20" s="11">
        <v>20</v>
      </c>
      <c r="X20" s="11">
        <v>10</v>
      </c>
      <c r="Y20" s="11">
        <v>12</v>
      </c>
      <c r="Z20" s="3" t="s">
        <v>176</v>
      </c>
      <c r="AA20" s="10" t="s">
        <v>175</v>
      </c>
      <c r="AB20" s="5">
        <f>350+180+80+100+92+322+162+53.5+140+330+260+60+16+37+40+8+20+42</f>
        <v>2292.5</v>
      </c>
      <c r="AC20" s="6">
        <f>3.5+12+6+8+0+29+0+2.35+10+2.5+18+1+0.17+0+0+0+1.5+0</f>
        <v>94.02</v>
      </c>
      <c r="AD20" s="6">
        <f>0+7.5+4+4.5+0+1+3+0.5+5+0+0.02+0+0+0+1+0</f>
        <v>26.52</v>
      </c>
      <c r="AE20" s="6">
        <f>7+15+5+5+2+4+4+1+12+23+20+2+1.5+1+1+0.77+2+1</f>
        <v>107.27</v>
      </c>
      <c r="AF20" s="6">
        <f>73.5+3+0+2+24+17+42+7+0+61+5+12+3+7+10+1.1+0+13</f>
        <v>280.60000000000002</v>
      </c>
      <c r="AG20" s="6">
        <f>7+0+0+0+2+18+8+1+0+11+2+2+1+2+3+0.5+0+2</f>
        <v>59.5</v>
      </c>
      <c r="AH20" s="6">
        <f>70+420+130+360+0+14+4+0+140+0+350+420+15.02+5+0+8+100+1</f>
        <v>2037.02</v>
      </c>
      <c r="AI20" s="6">
        <f t="shared" si="1"/>
        <v>4.1011995637949834E-2</v>
      </c>
      <c r="AJ20" s="6">
        <f t="shared" si="2"/>
        <v>1.1568157033805889E-2</v>
      </c>
      <c r="AK20" s="6">
        <f t="shared" si="3"/>
        <v>4.6791712104689201E-2</v>
      </c>
      <c r="AL20" s="6">
        <f t="shared" si="4"/>
        <v>0.12239912758996729</v>
      </c>
      <c r="AM20" s="6">
        <f t="shared" si="5"/>
        <v>2.5954198473282442E-2</v>
      </c>
      <c r="AN20" s="6">
        <f t="shared" si="6"/>
        <v>0.88855834242093779</v>
      </c>
      <c r="AO20" s="7">
        <v>3</v>
      </c>
      <c r="AP20" s="7">
        <v>1</v>
      </c>
      <c r="AQ20" s="7">
        <v>0</v>
      </c>
      <c r="AR20" s="10" t="s">
        <v>172</v>
      </c>
      <c r="AS20" s="7">
        <v>0</v>
      </c>
      <c r="AT20" s="7">
        <v>0</v>
      </c>
      <c r="AU20" s="7">
        <v>0</v>
      </c>
      <c r="AV20" s="3">
        <v>0</v>
      </c>
      <c r="AW20" s="3">
        <v>31</v>
      </c>
      <c r="AX20" s="3">
        <v>1</v>
      </c>
      <c r="AY20" s="3">
        <v>5.5</v>
      </c>
      <c r="AZ20" s="3">
        <v>1</v>
      </c>
      <c r="BA20" s="3">
        <v>1</v>
      </c>
      <c r="BB20" s="3">
        <v>1</v>
      </c>
      <c r="BC20" s="3">
        <v>1</v>
      </c>
      <c r="BD20" s="3">
        <v>1</v>
      </c>
    </row>
    <row r="21" spans="1:56" ht="20.100000000000001" customHeight="1" x14ac:dyDescent="0.25">
      <c r="A21" s="3" t="s">
        <v>23</v>
      </c>
      <c r="B21" s="3">
        <v>15</v>
      </c>
      <c r="C21" s="8">
        <v>44234</v>
      </c>
      <c r="D21" s="9">
        <v>0.2638888888888889</v>
      </c>
      <c r="E21" s="4">
        <v>37</v>
      </c>
      <c r="F21" s="3">
        <v>0</v>
      </c>
      <c r="G21" s="3">
        <v>0</v>
      </c>
      <c r="H21" s="3">
        <v>0</v>
      </c>
      <c r="I21" s="3">
        <v>0</v>
      </c>
      <c r="J21" s="9">
        <v>0.25694444444444448</v>
      </c>
      <c r="K21" s="3">
        <v>140.6</v>
      </c>
      <c r="L21" s="11">
        <f t="shared" si="8"/>
        <v>-3</v>
      </c>
      <c r="M21" s="5">
        <f t="shared" si="7"/>
        <v>2292.5</v>
      </c>
      <c r="N21" s="11">
        <v>31.75</v>
      </c>
      <c r="O21" s="11">
        <v>33.75</v>
      </c>
      <c r="P21" s="11">
        <v>11.25</v>
      </c>
      <c r="Q21" s="11">
        <v>11.25</v>
      </c>
      <c r="R21" s="11">
        <v>21.25</v>
      </c>
      <c r="S21" s="11">
        <v>21.25</v>
      </c>
      <c r="T21" s="11">
        <v>21</v>
      </c>
      <c r="U21" s="11">
        <v>21</v>
      </c>
      <c r="V21" s="11">
        <v>20</v>
      </c>
      <c r="W21" s="11">
        <v>20</v>
      </c>
      <c r="X21" s="11">
        <v>10</v>
      </c>
      <c r="Y21" s="11">
        <v>10</v>
      </c>
      <c r="Z21" s="3" t="s">
        <v>178</v>
      </c>
      <c r="AA21" s="10" t="s">
        <v>177</v>
      </c>
      <c r="AB21" s="5">
        <f>300+260+60+16+37+40+8+20+105+330+260+60+16+37+40+8+20+162+322+92+300+42+105+330+260+60+16+37+40+8+20</f>
        <v>3411</v>
      </c>
      <c r="AC21" s="6">
        <f>2.5+18+1+0.17+0+0+0+1.5+0+2.5+18+1+0.17+0+0+0+1.5+0+29+0+0+0+0+2.5+18+1+0.17+0+0+0+1.5</f>
        <v>98.51</v>
      </c>
      <c r="AD21" s="6">
        <f>0.5+5+0+0.02+0+0+0+1+0+0.5+5+0+0.02+0+0+0+1+0+4+0+0+0+0+0.5+5+0+0.02+0+0+0+1</f>
        <v>23.56</v>
      </c>
      <c r="AE21" s="6">
        <f>23+20+2+1.5+1+1+0.77+2+1+23+20+2+1.5+1+1+0.77+2+4+4+2+0+1+1+23+20+2+1.5+1+1+0.77+2</f>
        <v>166.81000000000003</v>
      </c>
      <c r="AF21" s="6">
        <f>61+5+12+3+7+10+1.1+0+27+61+5+12+3+7+10+1.1+0+42+17+24+75+13+27+61+5+12+3+7+10+1.1+0</f>
        <v>522.30000000000007</v>
      </c>
      <c r="AG21" s="6">
        <f>11+2+2+1+2+3+0.5+0+3+11+2+2+1+2+3+0.5+0+8+18+2+6+2+3+11+2+2+1+2+3+0.5+0</f>
        <v>106.5</v>
      </c>
      <c r="AH21" s="6">
        <f>0+350+420+15.02+5+0+8+100+1+0+350+420+15.02+5+0+8+100+4+14+0+0+1+1+0+350+420+15.02+5+0+8+100</f>
        <v>2715.06</v>
      </c>
      <c r="AI21" s="6">
        <f t="shared" si="1"/>
        <v>2.8880093814130755E-2</v>
      </c>
      <c r="AJ21" s="6">
        <f t="shared" si="2"/>
        <v>6.9070653767223681E-3</v>
      </c>
      <c r="AK21" s="6">
        <f t="shared" si="3"/>
        <v>4.8903547346819121E-2</v>
      </c>
      <c r="AL21" s="6">
        <f t="shared" si="4"/>
        <v>0.15312225153913811</v>
      </c>
      <c r="AM21" s="6">
        <f t="shared" si="5"/>
        <v>3.1222515391380826E-2</v>
      </c>
      <c r="AN21" s="6">
        <f t="shared" si="6"/>
        <v>0.79597185576077401</v>
      </c>
      <c r="AO21" s="7">
        <v>3</v>
      </c>
      <c r="AP21" s="7">
        <v>2</v>
      </c>
      <c r="AQ21" s="7">
        <v>0</v>
      </c>
      <c r="AR21" s="7">
        <v>0</v>
      </c>
      <c r="AS21" s="7">
        <v>0</v>
      </c>
      <c r="AT21" s="7">
        <v>0</v>
      </c>
      <c r="AU21" s="7">
        <v>0</v>
      </c>
      <c r="AV21" s="3">
        <v>0</v>
      </c>
      <c r="AW21" s="3">
        <v>31</v>
      </c>
      <c r="AX21" s="3">
        <v>1</v>
      </c>
      <c r="AY21" s="3">
        <v>7.5</v>
      </c>
      <c r="AZ21" s="3">
        <v>1</v>
      </c>
      <c r="BA21" s="3">
        <v>1</v>
      </c>
      <c r="BB21" s="3">
        <v>1</v>
      </c>
      <c r="BC21" s="3">
        <v>1</v>
      </c>
      <c r="BD21" s="3">
        <v>1</v>
      </c>
    </row>
    <row r="22" spans="1:56" ht="20.100000000000001" customHeight="1" x14ac:dyDescent="0.25">
      <c r="A22" s="3" t="s">
        <v>15</v>
      </c>
      <c r="B22" s="3">
        <v>16</v>
      </c>
      <c r="C22" s="8">
        <v>44235</v>
      </c>
      <c r="D22" s="9">
        <v>0.58333333333333337</v>
      </c>
      <c r="E22" s="4">
        <v>67</v>
      </c>
      <c r="F22" s="3">
        <v>0</v>
      </c>
      <c r="G22" s="3">
        <v>0</v>
      </c>
      <c r="H22" s="3">
        <v>0</v>
      </c>
      <c r="I22" s="3">
        <v>0</v>
      </c>
      <c r="J22" s="9">
        <v>0.34027777777777773</v>
      </c>
      <c r="K22" s="3">
        <v>142</v>
      </c>
      <c r="L22" s="11">
        <f t="shared" si="8"/>
        <v>1.4000000000000057</v>
      </c>
      <c r="M22" s="5">
        <f t="shared" si="7"/>
        <v>3411</v>
      </c>
      <c r="N22" s="11">
        <v>31.5</v>
      </c>
      <c r="O22" s="11">
        <v>33</v>
      </c>
      <c r="P22" s="11">
        <v>11.25</v>
      </c>
      <c r="Q22" s="11">
        <v>11.25</v>
      </c>
      <c r="R22" s="11">
        <v>20.75</v>
      </c>
      <c r="S22" s="11">
        <v>20.75</v>
      </c>
      <c r="T22" s="11">
        <v>18</v>
      </c>
      <c r="U22" s="11">
        <v>18</v>
      </c>
      <c r="V22" s="11">
        <v>18</v>
      </c>
      <c r="W22" s="11">
        <v>18</v>
      </c>
      <c r="X22" s="11">
        <v>10</v>
      </c>
      <c r="Y22" s="11">
        <v>10</v>
      </c>
      <c r="Z22" s="3" t="s">
        <v>184</v>
      </c>
      <c r="AA22" s="10" t="s">
        <v>183</v>
      </c>
      <c r="AB22" s="5">
        <f>330+260+60+16+37+40+8+20+105+100+330+260+60+16+37+40+8+20+350.25+132.5+118+325+81+92+105+350.25+132.5+118</f>
        <v>3551.5</v>
      </c>
      <c r="AC22" s="6">
        <f>2.5+18+1+0.17+0+0+0+1.5+0+7+2.5+18+1+0.17+0+0+0+1.5+32.2+6+0+21.125+0+0+0+32.2+6+0</f>
        <v>150.86500000000001</v>
      </c>
      <c r="AD22" s="6">
        <f>2*(0.5+5+0+0.02+0+0+0+1)+0+6+3.5+2.75+0+19.5+0+0+0+3.5+2.75+0</f>
        <v>51.04</v>
      </c>
      <c r="AE22" s="6">
        <f>2*(23+20+2+1.5+1+1+0.77+2)+1+1+2*(5+7.25+2)+3.25+2+2+1</f>
        <v>141.29000000000002</v>
      </c>
      <c r="AF22" s="6">
        <f>2*(61+5+12+3+7+10+1.1+0)+27+11+2*(13.25+14.75+28)+35.75+21+24+27</f>
        <v>455.95</v>
      </c>
      <c r="AG22" s="6">
        <f>2*(11+2+2+1+2+3+0.5+0)+3+1+2*(4.35+3.5+4)+3.25+4+2+3</f>
        <v>82.95</v>
      </c>
      <c r="AH22" s="6">
        <f>2*(0+350+420+15.02+5+0+8+100)+1+10+2*(207.25+462.5+9)+32.5+2+0+1</f>
        <v>3200.04</v>
      </c>
      <c r="AI22" s="6">
        <f t="shared" si="1"/>
        <v>4.2479234126425458E-2</v>
      </c>
      <c r="AJ22" s="6">
        <f t="shared" si="2"/>
        <v>1.437139236942137E-2</v>
      </c>
      <c r="AK22" s="6">
        <f t="shared" si="3"/>
        <v>3.9783190201323392E-2</v>
      </c>
      <c r="AL22" s="6">
        <f t="shared" si="4"/>
        <v>0.12838237364493876</v>
      </c>
      <c r="AM22" s="6">
        <f t="shared" si="5"/>
        <v>2.3356328311980853E-2</v>
      </c>
      <c r="AN22" s="6">
        <f t="shared" si="6"/>
        <v>0.90103899760664508</v>
      </c>
      <c r="AO22" s="7">
        <v>3</v>
      </c>
      <c r="AP22" s="7">
        <v>2</v>
      </c>
      <c r="AQ22" s="7">
        <v>0</v>
      </c>
      <c r="AR22" s="7">
        <v>0</v>
      </c>
      <c r="AS22" s="7">
        <v>0</v>
      </c>
      <c r="AT22" s="7">
        <v>0</v>
      </c>
      <c r="AU22" s="7">
        <v>0</v>
      </c>
      <c r="AV22" s="3">
        <v>0</v>
      </c>
      <c r="AW22" s="3">
        <v>31</v>
      </c>
      <c r="AX22" s="3">
        <v>1</v>
      </c>
      <c r="AY22" s="3">
        <v>8</v>
      </c>
      <c r="AZ22" s="3">
        <v>1</v>
      </c>
      <c r="BA22" s="3">
        <v>1</v>
      </c>
      <c r="BB22" s="3">
        <v>0</v>
      </c>
      <c r="BC22" s="3">
        <v>1</v>
      </c>
      <c r="BD22" s="3">
        <v>1</v>
      </c>
    </row>
    <row r="23" spans="1:56" ht="20.100000000000001" customHeight="1" x14ac:dyDescent="0.25">
      <c r="A23" s="3" t="s">
        <v>16</v>
      </c>
      <c r="B23" s="3">
        <v>17</v>
      </c>
      <c r="C23" s="8">
        <v>44236</v>
      </c>
      <c r="D23" s="9">
        <v>0.60416666666666663</v>
      </c>
      <c r="E23" s="4">
        <v>59</v>
      </c>
      <c r="F23" s="3">
        <v>15</v>
      </c>
      <c r="G23" s="3">
        <v>3</v>
      </c>
      <c r="H23" s="3">
        <v>45</v>
      </c>
      <c r="I23" s="3">
        <v>1</v>
      </c>
      <c r="J23" s="9">
        <v>0.32291666666666669</v>
      </c>
      <c r="K23" s="3">
        <v>140.19999999999999</v>
      </c>
      <c r="L23" s="11">
        <f t="shared" si="8"/>
        <v>-1.8000000000000114</v>
      </c>
      <c r="M23" s="5">
        <f t="shared" si="7"/>
        <v>3551.5</v>
      </c>
      <c r="N23" s="11">
        <v>31.5</v>
      </c>
      <c r="O23" s="11">
        <v>33.75</v>
      </c>
      <c r="P23" s="11">
        <v>11.25</v>
      </c>
      <c r="Q23" s="11">
        <v>11.25</v>
      </c>
      <c r="R23" s="11">
        <v>20.5</v>
      </c>
      <c r="S23" s="11">
        <v>21</v>
      </c>
      <c r="T23" s="11">
        <v>20</v>
      </c>
      <c r="U23" s="11">
        <v>20</v>
      </c>
      <c r="V23" s="11">
        <v>20</v>
      </c>
      <c r="W23" s="11">
        <v>18</v>
      </c>
      <c r="X23" s="11">
        <v>10</v>
      </c>
      <c r="Y23" s="11">
        <v>10</v>
      </c>
      <c r="Z23" s="3" t="s">
        <v>196</v>
      </c>
      <c r="AA23" s="10" t="s">
        <v>195</v>
      </c>
      <c r="AB23" s="5">
        <f>140+241.5+105+92+81+100+132.5+241.5+60+132.5+350.25+118+200+50</f>
        <v>2044.25</v>
      </c>
      <c r="AC23" s="6">
        <f>10+21.75+0+0+0+1+6+21.75+5+6+32.2+0+16+0</f>
        <v>119.7</v>
      </c>
      <c r="AD23" s="6">
        <f>3+3+0+0+0+2.75+3+3.5+2.75+3.5+0+10+0</f>
        <v>31.5</v>
      </c>
      <c r="AE23" s="6">
        <f>12+3+1+2+2+2+7.25+3+1+7.25+5+2+14+0</f>
        <v>61.5</v>
      </c>
      <c r="AF23" s="6">
        <f>0+12.75+27+24+21+21+14.75+12.75+0+14.75+13.25+28+0+12</f>
        <v>201.25</v>
      </c>
      <c r="AG23" s="6">
        <f>0+13.5+3+2+4+2+3.5+13.5+1+3.5+4.35+4+0+2</f>
        <v>56.35</v>
      </c>
      <c r="AH23" s="6">
        <f>140+10.5+1+0+2+60+462.5+10.5+15+462.5+207.25+9+340+0</f>
        <v>1720.25</v>
      </c>
      <c r="AI23" s="6">
        <f t="shared" si="1"/>
        <v>5.8554482083893848E-2</v>
      </c>
      <c r="AJ23" s="6">
        <f t="shared" si="2"/>
        <v>1.5409074232603645E-2</v>
      </c>
      <c r="AK23" s="6">
        <f t="shared" si="3"/>
        <v>3.0084383025559495E-2</v>
      </c>
      <c r="AL23" s="6">
        <f t="shared" si="4"/>
        <v>9.8446863152745506E-2</v>
      </c>
      <c r="AM23" s="6">
        <f t="shared" si="5"/>
        <v>2.7565121682768742E-2</v>
      </c>
      <c r="AN23" s="6">
        <f t="shared" si="6"/>
        <v>0.84150666503607685</v>
      </c>
      <c r="AO23" s="7">
        <v>3</v>
      </c>
      <c r="AP23" s="7">
        <v>1</v>
      </c>
      <c r="AQ23" s="7">
        <v>0</v>
      </c>
      <c r="AR23" s="10" t="s">
        <v>194</v>
      </c>
      <c r="AS23" s="3" t="s">
        <v>255</v>
      </c>
      <c r="AT23" s="7" t="s">
        <v>256</v>
      </c>
      <c r="AU23" s="7">
        <v>10</v>
      </c>
      <c r="AV23" s="3">
        <v>-5</v>
      </c>
      <c r="AW23" s="3">
        <v>31</v>
      </c>
      <c r="AX23" s="3">
        <v>1</v>
      </c>
      <c r="AY23" s="3">
        <v>7</v>
      </c>
      <c r="AZ23" s="3">
        <v>1</v>
      </c>
      <c r="BA23" s="3">
        <v>1</v>
      </c>
      <c r="BB23" s="3">
        <v>1</v>
      </c>
      <c r="BC23" s="3">
        <v>1</v>
      </c>
      <c r="BD23" s="3">
        <v>1</v>
      </c>
    </row>
    <row r="24" spans="1:56" ht="20.100000000000001" customHeight="1" x14ac:dyDescent="0.25">
      <c r="A24" s="3" t="s">
        <v>16</v>
      </c>
      <c r="B24" s="3">
        <v>17</v>
      </c>
      <c r="C24" s="8">
        <v>44236</v>
      </c>
      <c r="D24" s="9">
        <v>0.60416666666666663</v>
      </c>
      <c r="E24" s="4">
        <v>59</v>
      </c>
      <c r="F24" s="3">
        <v>15</v>
      </c>
      <c r="G24" s="3">
        <v>3</v>
      </c>
      <c r="H24" s="3">
        <v>45</v>
      </c>
      <c r="I24" s="3">
        <v>1</v>
      </c>
      <c r="J24" s="9">
        <v>0.79166666666666663</v>
      </c>
      <c r="K24" s="3">
        <v>142.6</v>
      </c>
      <c r="L24" s="11">
        <f t="shared" ref="L24" si="9">K24-K23</f>
        <v>2.4000000000000057</v>
      </c>
      <c r="M24" s="5">
        <f t="shared" ref="M24" si="10">AB23</f>
        <v>2044.25</v>
      </c>
      <c r="N24" s="11">
        <v>33</v>
      </c>
      <c r="O24" s="11">
        <v>34</v>
      </c>
      <c r="P24" s="11">
        <v>11.25</v>
      </c>
      <c r="Q24" s="11">
        <v>11.25</v>
      </c>
      <c r="R24" s="11">
        <v>21.625</v>
      </c>
      <c r="S24" s="11">
        <v>21.75</v>
      </c>
      <c r="T24" s="11">
        <v>20</v>
      </c>
      <c r="U24" s="11">
        <v>18</v>
      </c>
      <c r="V24" s="11">
        <v>19</v>
      </c>
      <c r="W24" s="11">
        <v>19</v>
      </c>
      <c r="X24" s="11">
        <v>10</v>
      </c>
      <c r="Y24" s="11">
        <v>8</v>
      </c>
      <c r="Z24" s="3" t="s">
        <v>196</v>
      </c>
      <c r="AA24" s="10" t="s">
        <v>195</v>
      </c>
      <c r="AB24" s="5">
        <f>140+241.5+105+92+81+100+132.5+241.5+60+132.5+350.25+118+200+50</f>
        <v>2044.25</v>
      </c>
      <c r="AC24" s="6">
        <f>10+21.75+0+0+0+1+6+21.75+5+6+32.2+0+16+0</f>
        <v>119.7</v>
      </c>
      <c r="AD24" s="6">
        <f>3+3+0+0+0+2.75+3+3.5+2.75+3.5+0+10+0</f>
        <v>31.5</v>
      </c>
      <c r="AE24" s="6">
        <f>12+3+1+2+2+2+7.25+3+1+7.25+5+2+14+0</f>
        <v>61.5</v>
      </c>
      <c r="AF24" s="6">
        <f>0+12.75+27+24+21+21+14.75+12.75+0+14.75+13.25+28+0+12</f>
        <v>201.25</v>
      </c>
      <c r="AG24" s="6">
        <f>0+13.5+3+2+4+2+3.5+13.5+1+3.5+4.35+4+0+2</f>
        <v>56.35</v>
      </c>
      <c r="AH24" s="6">
        <f>140+10.5+1+0+2+60+462.5+10.5+15+462.5+207.25+9+340+0</f>
        <v>1720.25</v>
      </c>
      <c r="AI24" s="6">
        <f t="shared" si="1"/>
        <v>5.8554482083893848E-2</v>
      </c>
      <c r="AJ24" s="6">
        <f t="shared" si="2"/>
        <v>1.5409074232603645E-2</v>
      </c>
      <c r="AK24" s="6">
        <f t="shared" si="3"/>
        <v>3.0084383025559495E-2</v>
      </c>
      <c r="AL24" s="6">
        <f t="shared" si="4"/>
        <v>9.8446863152745506E-2</v>
      </c>
      <c r="AM24" s="6">
        <f t="shared" si="5"/>
        <v>2.7565121682768742E-2</v>
      </c>
      <c r="AN24" s="6">
        <f t="shared" si="6"/>
        <v>0.84150666503607685</v>
      </c>
      <c r="AO24" s="7">
        <v>3</v>
      </c>
      <c r="AP24" s="7">
        <v>1</v>
      </c>
      <c r="AQ24" s="7">
        <v>0</v>
      </c>
      <c r="AR24" s="10" t="s">
        <v>194</v>
      </c>
      <c r="AS24" s="3" t="s">
        <v>255</v>
      </c>
      <c r="AT24" s="7" t="s">
        <v>256</v>
      </c>
      <c r="AU24" s="7">
        <v>10</v>
      </c>
      <c r="AV24" s="3">
        <v>-5</v>
      </c>
      <c r="AW24" s="3">
        <v>31</v>
      </c>
      <c r="AX24" s="3">
        <v>1</v>
      </c>
      <c r="AY24" s="3">
        <v>7</v>
      </c>
      <c r="AZ24" s="3">
        <v>1</v>
      </c>
      <c r="BA24" s="3">
        <v>1</v>
      </c>
      <c r="BB24" s="3">
        <v>1</v>
      </c>
      <c r="BC24" s="3">
        <v>1</v>
      </c>
      <c r="BD24" s="3">
        <v>1</v>
      </c>
    </row>
    <row r="25" spans="1:56" ht="20.100000000000001" customHeight="1" x14ac:dyDescent="0.25">
      <c r="A25" s="3" t="s">
        <v>17</v>
      </c>
      <c r="B25" s="3">
        <v>18</v>
      </c>
      <c r="C25" s="8">
        <v>44237</v>
      </c>
      <c r="D25" s="9">
        <v>0.6875</v>
      </c>
      <c r="E25" s="4">
        <v>63</v>
      </c>
      <c r="F25" s="3">
        <v>9</v>
      </c>
      <c r="G25" s="3">
        <v>5</v>
      </c>
      <c r="H25" s="3">
        <v>45</v>
      </c>
      <c r="I25" s="3">
        <v>0</v>
      </c>
      <c r="J25" s="9">
        <v>0.23958333333333334</v>
      </c>
      <c r="K25" s="3">
        <v>139.4</v>
      </c>
      <c r="L25" s="11">
        <f t="shared" ref="L25" si="11">K25-K24</f>
        <v>-3.1999999999999886</v>
      </c>
      <c r="M25" s="5">
        <f t="shared" ref="M25" si="12">AB24</f>
        <v>2044.25</v>
      </c>
      <c r="N25" s="11">
        <v>31.5</v>
      </c>
      <c r="O25" s="11">
        <v>33.25</v>
      </c>
      <c r="P25" s="11">
        <v>11</v>
      </c>
      <c r="Q25" s="11">
        <v>11.125</v>
      </c>
      <c r="R25" s="11">
        <v>21</v>
      </c>
      <c r="S25" s="11">
        <v>20.75</v>
      </c>
      <c r="T25" s="11">
        <v>19</v>
      </c>
      <c r="U25" s="11">
        <v>20</v>
      </c>
      <c r="V25" s="11">
        <v>19</v>
      </c>
      <c r="W25" s="11">
        <v>19</v>
      </c>
      <c r="X25" s="11">
        <v>9</v>
      </c>
      <c r="Y25" s="11">
        <v>9</v>
      </c>
      <c r="Z25" s="3" t="s">
        <v>253</v>
      </c>
      <c r="AA25" s="10" t="s">
        <v>250</v>
      </c>
      <c r="AB25" s="5">
        <f>132.5+350.25+118+60+132.5+350.25+118+162+184+140+60+144+160+241.5</f>
        <v>2353</v>
      </c>
      <c r="AC25" s="6">
        <f>6+32.2+0+5+6+32.2+0+0+0+10+5+0+12+21.75</f>
        <v>130.15</v>
      </c>
      <c r="AD25" s="6">
        <f>2.75+3.5+0+3.5+2.75+3.5+0+0+0+3+3.5+0+8+3</f>
        <v>33.5</v>
      </c>
      <c r="AE25" s="6">
        <f>7.25+5+2+1+7.25+5+2+4+4+12+1+4+10+3</f>
        <v>67.5</v>
      </c>
      <c r="AF25" s="6">
        <f>14.75+13.25+28+0+14.75+13.25+28+42+48+0+0+28+0+12.75</f>
        <v>242.75</v>
      </c>
      <c r="AG25" s="6">
        <f>3.5+4.35+4+1+3.5+4.35+4+8+4+0+1+4+0+13.5</f>
        <v>55.2</v>
      </c>
      <c r="AH25" s="6">
        <f>1874</f>
        <v>1874</v>
      </c>
      <c r="AI25" s="6">
        <f t="shared" si="1"/>
        <v>5.5312367190820229E-2</v>
      </c>
      <c r="AJ25" s="6">
        <f t="shared" si="2"/>
        <v>1.4237144071398216E-2</v>
      </c>
      <c r="AK25" s="6">
        <f t="shared" si="3"/>
        <v>2.868678283042924E-2</v>
      </c>
      <c r="AL25" s="6">
        <f t="shared" si="4"/>
        <v>0.10316617084572886</v>
      </c>
      <c r="AM25" s="6">
        <f t="shared" si="5"/>
        <v>2.3459413514662134E-2</v>
      </c>
      <c r="AN25" s="6">
        <f t="shared" si="6"/>
        <v>0.79643008924776881</v>
      </c>
      <c r="AO25" s="7">
        <v>3</v>
      </c>
      <c r="AP25" s="7">
        <v>1</v>
      </c>
      <c r="AQ25" s="7">
        <v>0</v>
      </c>
      <c r="AR25" s="7">
        <v>0</v>
      </c>
      <c r="AS25" s="7">
        <v>0</v>
      </c>
      <c r="AT25" s="7">
        <v>0</v>
      </c>
      <c r="AU25" s="7">
        <v>0</v>
      </c>
      <c r="AV25" s="3">
        <v>0</v>
      </c>
      <c r="AW25" s="3">
        <v>31</v>
      </c>
      <c r="AX25" s="3">
        <v>1</v>
      </c>
      <c r="AY25" s="3">
        <v>8</v>
      </c>
      <c r="AZ25" s="3">
        <v>1</v>
      </c>
      <c r="BA25" s="3">
        <v>1</v>
      </c>
      <c r="BB25" s="3">
        <v>1</v>
      </c>
      <c r="BC25" s="3">
        <v>1</v>
      </c>
      <c r="BD25" s="3">
        <v>1</v>
      </c>
    </row>
    <row r="26" spans="1:56" ht="20.100000000000001" customHeight="1" x14ac:dyDescent="0.25">
      <c r="A26" s="3" t="s">
        <v>17</v>
      </c>
      <c r="B26" s="3">
        <v>18</v>
      </c>
      <c r="C26" s="8">
        <v>44237</v>
      </c>
      <c r="D26" s="9">
        <v>0.6875</v>
      </c>
      <c r="E26" s="4">
        <v>63</v>
      </c>
      <c r="F26" s="3">
        <v>9</v>
      </c>
      <c r="G26" s="3">
        <v>5</v>
      </c>
      <c r="H26" s="3">
        <v>45</v>
      </c>
      <c r="I26" s="3">
        <v>0</v>
      </c>
      <c r="J26" s="9">
        <v>0.80208333333333337</v>
      </c>
      <c r="K26" s="3">
        <v>142.19999999999999</v>
      </c>
      <c r="L26" s="11">
        <f t="shared" ref="L26" si="13">K26-K25</f>
        <v>2.7999999999999829</v>
      </c>
      <c r="M26" s="5">
        <f t="shared" ref="M26" si="14">AB25</f>
        <v>2353</v>
      </c>
      <c r="N26" s="11">
        <v>31.5</v>
      </c>
      <c r="O26" s="11">
        <v>33.5</v>
      </c>
      <c r="P26" s="11">
        <v>11</v>
      </c>
      <c r="Q26" s="11">
        <v>11.25</v>
      </c>
      <c r="R26" s="11">
        <v>20.5</v>
      </c>
      <c r="S26" s="11">
        <v>20.75</v>
      </c>
      <c r="T26" s="11">
        <v>16</v>
      </c>
      <c r="U26" s="11">
        <v>18</v>
      </c>
      <c r="V26" s="11">
        <v>19</v>
      </c>
      <c r="W26" s="11">
        <v>19</v>
      </c>
      <c r="X26" s="11">
        <v>9</v>
      </c>
      <c r="Y26" s="11">
        <v>8</v>
      </c>
      <c r="Z26" s="3" t="s">
        <v>257</v>
      </c>
      <c r="AA26" s="10" t="s">
        <v>250</v>
      </c>
      <c r="AB26" s="5">
        <f>132.5+350.25+118+60+132.5+350.25+118+162+184+140+60+144+160+241.5</f>
        <v>2353</v>
      </c>
      <c r="AC26" s="6">
        <f>6+32.2+0+5+6+32.2+0+0+0+10+5+0+12+21.75</f>
        <v>130.15</v>
      </c>
      <c r="AD26" s="6">
        <f>2.75+3.5+0+3.5+2.75+3.5+0+0+0+3+3.5+0+8+3</f>
        <v>33.5</v>
      </c>
      <c r="AE26" s="6">
        <f>7.25+5+2+1+7.25+5+2+4+4+12+1+4+10+3</f>
        <v>67.5</v>
      </c>
      <c r="AF26" s="6">
        <f>14.75+13.25+28+0+14.75+13.25+28+42+48+0+0+28+0+12.75</f>
        <v>242.75</v>
      </c>
      <c r="AG26" s="6">
        <f>3.5+4.35+4+1+3.5+4.35+4+8+4+0+1+4+0+13.5</f>
        <v>55.2</v>
      </c>
      <c r="AH26" s="6">
        <f>1874</f>
        <v>1874</v>
      </c>
      <c r="AI26" s="6">
        <f t="shared" si="1"/>
        <v>5.5312367190820229E-2</v>
      </c>
      <c r="AJ26" s="6">
        <f t="shared" si="2"/>
        <v>1.4237144071398216E-2</v>
      </c>
      <c r="AK26" s="6">
        <f t="shared" si="3"/>
        <v>2.868678283042924E-2</v>
      </c>
      <c r="AL26" s="6">
        <f t="shared" si="4"/>
        <v>0.10316617084572886</v>
      </c>
      <c r="AM26" s="6">
        <f t="shared" si="5"/>
        <v>2.3459413514662134E-2</v>
      </c>
      <c r="AN26" s="6">
        <f t="shared" si="6"/>
        <v>0.79643008924776881</v>
      </c>
      <c r="AO26" s="7">
        <v>3</v>
      </c>
      <c r="AP26" s="7">
        <v>1</v>
      </c>
      <c r="AQ26" s="7">
        <v>0</v>
      </c>
      <c r="AR26" s="7">
        <v>0</v>
      </c>
      <c r="AS26" s="7">
        <v>0</v>
      </c>
      <c r="AT26" s="7">
        <v>0</v>
      </c>
      <c r="AU26" s="7">
        <v>0</v>
      </c>
      <c r="AV26" s="3">
        <v>0</v>
      </c>
      <c r="AW26" s="3">
        <v>31</v>
      </c>
      <c r="AX26" s="3">
        <v>1</v>
      </c>
      <c r="AY26" s="3">
        <v>8</v>
      </c>
      <c r="AZ26" s="3">
        <v>1</v>
      </c>
      <c r="BA26" s="3">
        <v>1</v>
      </c>
      <c r="BB26" s="3">
        <v>1</v>
      </c>
      <c r="BC26" s="3">
        <v>1</v>
      </c>
      <c r="BD26" s="3">
        <v>1</v>
      </c>
    </row>
    <row r="27" spans="1:56" ht="20.100000000000001" customHeight="1" x14ac:dyDescent="0.25">
      <c r="A27" s="3" t="s">
        <v>18</v>
      </c>
      <c r="B27" s="3">
        <v>19</v>
      </c>
      <c r="C27" s="8">
        <v>44238</v>
      </c>
      <c r="D27" s="9">
        <v>0.59027777777777779</v>
      </c>
      <c r="E27" s="4">
        <v>70</v>
      </c>
      <c r="F27" s="3">
        <v>0</v>
      </c>
      <c r="G27" s="3">
        <v>0</v>
      </c>
      <c r="H27" s="3">
        <v>0</v>
      </c>
      <c r="I27" s="3">
        <v>1</v>
      </c>
      <c r="J27" s="9">
        <v>0.15972222222222224</v>
      </c>
      <c r="K27" s="3">
        <v>140</v>
      </c>
      <c r="L27" s="11">
        <f t="shared" ref="L27" si="15">K27-K26</f>
        <v>-2.1999999999999886</v>
      </c>
      <c r="M27" s="5">
        <f t="shared" ref="M27" si="16">AB26</f>
        <v>2353</v>
      </c>
      <c r="N27" s="11">
        <v>31.25</v>
      </c>
      <c r="O27" s="11">
        <v>32.75</v>
      </c>
      <c r="P27" s="11">
        <v>11</v>
      </c>
      <c r="Q27" s="11">
        <v>11</v>
      </c>
      <c r="R27" s="11">
        <v>20.5</v>
      </c>
      <c r="S27" s="11">
        <v>20.75</v>
      </c>
      <c r="T27" s="11">
        <v>17</v>
      </c>
      <c r="U27" s="11">
        <v>17</v>
      </c>
      <c r="V27" s="11">
        <v>18</v>
      </c>
      <c r="W27" s="11">
        <v>17</v>
      </c>
      <c r="X27" s="11">
        <v>8</v>
      </c>
      <c r="Y27" s="11">
        <v>7</v>
      </c>
      <c r="Z27" s="3" t="s">
        <v>263</v>
      </c>
      <c r="AA27" s="10" t="s">
        <v>264</v>
      </c>
      <c r="AB27" s="5">
        <f>70+30+164+160+210+164+160+100+100+5+1.25+13.125+60+3.75+4.375+200+30+100+25+615</f>
        <v>2215.5</v>
      </c>
      <c r="AC27" s="6">
        <f>5+2.5+0+12+15+0+12+8+10+0.375+0.65+0+0.1875+0+20+2.25+8+0+0</f>
        <v>95.962500000000006</v>
      </c>
      <c r="AD27" s="6">
        <f>1.5+1.75+0+8+4.5+0+8+4.5+1+0+0+0+0+0+2+0+5+0+0</f>
        <v>36.25</v>
      </c>
      <c r="AE27" s="6">
        <f>6+0.5+4+10+18+4+10+5+2.5+0.125+0.125+0.47+0.47+5+0.75+7+0+0</f>
        <v>73.94</v>
      </c>
      <c r="AF27" s="6">
        <f>0.25+0.375+3.375+0.125+1.125+4+1.5+0+6+20</f>
        <v>36.75</v>
      </c>
      <c r="AG27" s="6">
        <f>0+0.5+4+0+0+4+0+1+1+0.125+0.125+2+0.75+0+1+0</f>
        <v>14.5</v>
      </c>
      <c r="AH27" s="6">
        <f>70+7.5+72+260+210+72+260+360+0+22.5+0+0.125+0+0.47+17+0+135+170+0+30</f>
        <v>1686.595</v>
      </c>
      <c r="AI27" s="6">
        <f t="shared" si="1"/>
        <v>4.3314150304671631E-2</v>
      </c>
      <c r="AJ27" s="6">
        <f t="shared" si="2"/>
        <v>1.6361995034980818E-2</v>
      </c>
      <c r="AK27" s="6">
        <f t="shared" si="3"/>
        <v>3.3373956217558114E-2</v>
      </c>
      <c r="AL27" s="6">
        <f t="shared" si="4"/>
        <v>1.6587677725118485E-2</v>
      </c>
      <c r="AM27" s="6">
        <f t="shared" si="5"/>
        <v>6.5447980139923265E-3</v>
      </c>
      <c r="AN27" s="6">
        <f t="shared" si="6"/>
        <v>0.7612705935454751</v>
      </c>
      <c r="AO27" s="7">
        <v>3</v>
      </c>
      <c r="AP27" s="7">
        <v>1</v>
      </c>
      <c r="AQ27" s="7">
        <v>0</v>
      </c>
      <c r="AR27" s="10" t="s">
        <v>258</v>
      </c>
      <c r="AS27" s="7" t="s">
        <v>262</v>
      </c>
      <c r="AT27" s="7">
        <v>0</v>
      </c>
      <c r="AU27" s="7">
        <f>5+10+5+5+5+10+10+10</f>
        <v>60</v>
      </c>
      <c r="AV27" s="7">
        <v>0</v>
      </c>
      <c r="AW27" s="3">
        <v>31</v>
      </c>
      <c r="AX27" s="3">
        <v>1</v>
      </c>
      <c r="AY27" s="3">
        <v>7</v>
      </c>
      <c r="AZ27" s="3">
        <v>1</v>
      </c>
      <c r="BA27" s="3">
        <v>1</v>
      </c>
      <c r="BB27" s="3">
        <v>1</v>
      </c>
      <c r="BC27" s="3">
        <v>1</v>
      </c>
      <c r="BD27" s="3">
        <v>1</v>
      </c>
    </row>
    <row r="28" spans="1:56" ht="20.100000000000001" customHeight="1" x14ac:dyDescent="0.25">
      <c r="A28" s="3" t="s">
        <v>18</v>
      </c>
      <c r="B28" s="3">
        <v>19</v>
      </c>
      <c r="C28" s="8">
        <v>44238</v>
      </c>
      <c r="D28" s="9">
        <v>0.59027777777777779</v>
      </c>
      <c r="E28" s="4">
        <v>70</v>
      </c>
      <c r="F28" s="3">
        <v>0</v>
      </c>
      <c r="G28" s="3">
        <v>0</v>
      </c>
      <c r="H28" s="3">
        <v>0</v>
      </c>
      <c r="I28" s="3">
        <v>1</v>
      </c>
      <c r="J28" s="9">
        <v>0.69791666666666663</v>
      </c>
      <c r="K28" s="3">
        <v>141</v>
      </c>
      <c r="L28" s="11">
        <f t="shared" ref="L28" si="17">K28-K27</f>
        <v>1</v>
      </c>
      <c r="M28" s="5">
        <f t="shared" ref="M28" si="18">AB27</f>
        <v>2215.5</v>
      </c>
      <c r="N28" s="11">
        <v>31</v>
      </c>
      <c r="O28" s="11">
        <v>32.25</v>
      </c>
      <c r="P28" s="11">
        <v>10.625</v>
      </c>
      <c r="Q28" s="11">
        <v>11.125</v>
      </c>
      <c r="R28" s="11">
        <v>20.75</v>
      </c>
      <c r="S28" s="11">
        <v>21</v>
      </c>
      <c r="T28" s="11">
        <v>17</v>
      </c>
      <c r="U28" s="11">
        <v>18</v>
      </c>
      <c r="V28" s="11">
        <v>16</v>
      </c>
      <c r="W28" s="11">
        <v>18</v>
      </c>
      <c r="X28" s="11">
        <v>8</v>
      </c>
      <c r="Y28" s="11">
        <v>7</v>
      </c>
      <c r="Z28" s="3" t="s">
        <v>263</v>
      </c>
      <c r="AA28" s="10" t="s">
        <v>264</v>
      </c>
      <c r="AB28" s="5">
        <f>70+30+164+160+210+164+160+100+100+5+1.25+13.125+60+3.75+4.375+200+30+100+25+615</f>
        <v>2215.5</v>
      </c>
      <c r="AC28" s="6">
        <f>5+2.5+0+12+15+0+12+8+10+0.375+0.65+0+0.1875+0+20+2.25+8+0+0</f>
        <v>95.962500000000006</v>
      </c>
      <c r="AD28" s="6">
        <f>1.5+1.75+0+8+4.5+0+8+4.5+1+0+0+0+0+0+2+0+5+0+0</f>
        <v>36.25</v>
      </c>
      <c r="AE28" s="6">
        <f>6+0.5+4+10+18+4+10+5+2.5+0.125+0.125+0.47+0.47+5+0.75+7+0+0</f>
        <v>73.94</v>
      </c>
      <c r="AF28" s="6">
        <f>0.25+0.375+3.375+0.125+1.125+4+1.5+0+6+20</f>
        <v>36.75</v>
      </c>
      <c r="AG28" s="6">
        <f>0+0.5+4+0+0+4+0+1+1+0.125+0.125+2+0.75+0+1+0</f>
        <v>14.5</v>
      </c>
      <c r="AH28" s="6">
        <f>70+7.5+72+260+210+72+260+360+0+22.5+0+0.125+0+0.47+17+0+135+170+0+30</f>
        <v>1686.595</v>
      </c>
      <c r="AI28" s="6">
        <f t="shared" si="1"/>
        <v>4.3314150304671631E-2</v>
      </c>
      <c r="AJ28" s="6">
        <f t="shared" si="2"/>
        <v>1.6361995034980818E-2</v>
      </c>
      <c r="AK28" s="6">
        <f t="shared" si="3"/>
        <v>3.3373956217558114E-2</v>
      </c>
      <c r="AL28" s="6">
        <f t="shared" si="4"/>
        <v>1.6587677725118485E-2</v>
      </c>
      <c r="AM28" s="6">
        <f t="shared" si="5"/>
        <v>6.5447980139923265E-3</v>
      </c>
      <c r="AN28" s="6">
        <f t="shared" si="6"/>
        <v>0.7612705935454751</v>
      </c>
      <c r="AO28" s="7">
        <v>3</v>
      </c>
      <c r="AP28" s="7">
        <v>1</v>
      </c>
      <c r="AQ28" s="7">
        <v>0</v>
      </c>
      <c r="AR28" s="10" t="s">
        <v>258</v>
      </c>
      <c r="AS28" s="7" t="s">
        <v>262</v>
      </c>
      <c r="AT28" s="7">
        <v>0</v>
      </c>
      <c r="AU28" s="7">
        <f>5+10+5+5+5+10+10+10</f>
        <v>60</v>
      </c>
      <c r="AV28" s="7">
        <v>0</v>
      </c>
      <c r="AW28" s="3">
        <v>31</v>
      </c>
      <c r="AX28" s="3">
        <v>1</v>
      </c>
      <c r="AY28" s="3">
        <v>7</v>
      </c>
      <c r="AZ28" s="3">
        <v>1</v>
      </c>
      <c r="BA28" s="3">
        <v>1</v>
      </c>
      <c r="BB28" s="3">
        <v>1</v>
      </c>
      <c r="BC28" s="3">
        <v>1</v>
      </c>
      <c r="BD28" s="3">
        <v>1</v>
      </c>
    </row>
    <row r="29" spans="1:56" ht="20.100000000000001" customHeight="1" x14ac:dyDescent="0.25">
      <c r="A29" s="3" t="s">
        <v>18</v>
      </c>
      <c r="B29" s="3">
        <v>19</v>
      </c>
      <c r="C29" s="8">
        <v>44238</v>
      </c>
      <c r="D29" s="9">
        <v>0.59027777777777779</v>
      </c>
      <c r="E29" s="4">
        <v>70</v>
      </c>
      <c r="F29" s="3">
        <v>0</v>
      </c>
      <c r="G29" s="3">
        <v>0</v>
      </c>
      <c r="H29" s="3">
        <v>0</v>
      </c>
      <c r="I29" s="3">
        <v>1</v>
      </c>
      <c r="J29" s="9">
        <v>0.88541666666666663</v>
      </c>
      <c r="K29" s="3">
        <v>141</v>
      </c>
      <c r="L29" s="11">
        <f t="shared" ref="L29" si="19">K29-K28</f>
        <v>0</v>
      </c>
      <c r="M29" s="5">
        <f t="shared" ref="M29" si="20">AB28</f>
        <v>2215.5</v>
      </c>
      <c r="N29" s="11">
        <v>32</v>
      </c>
      <c r="O29" s="11">
        <v>33.5</v>
      </c>
      <c r="P29" s="11">
        <v>10.75</v>
      </c>
      <c r="Q29" s="11">
        <v>11</v>
      </c>
      <c r="R29" s="11">
        <v>20.5</v>
      </c>
      <c r="S29" s="11">
        <v>21.25</v>
      </c>
      <c r="T29" s="11">
        <v>17</v>
      </c>
      <c r="U29" s="11">
        <v>17</v>
      </c>
      <c r="V29" s="11">
        <v>18</v>
      </c>
      <c r="W29" s="11">
        <v>18</v>
      </c>
      <c r="X29" s="11">
        <v>8</v>
      </c>
      <c r="Y29" s="11">
        <v>8</v>
      </c>
      <c r="Z29" s="3" t="s">
        <v>265</v>
      </c>
      <c r="AA29" s="10" t="s">
        <v>270</v>
      </c>
      <c r="AB29" s="5">
        <f>70+30+164+160+210+164+160+100+100+5+1.25+13.125+60+3.75+4.375+200+30+100+25+615</f>
        <v>2215.5</v>
      </c>
      <c r="AC29" s="6">
        <f>5+2.5+0+12+15+0+12+8+10+0.375+0.65+0+0.1875+0+20+2.25+8+0+0</f>
        <v>95.962500000000006</v>
      </c>
      <c r="AD29" s="6">
        <f>1.5+1.75+0+8+4.5+0+8+4.5+1+0+0+0+0+0+2+0+5+0+0</f>
        <v>36.25</v>
      </c>
      <c r="AE29" s="6">
        <f>6+0.5+4+10+18+4+10+5+2.5+0.125+0.125+0.47+0.47+5+0.75+7+0+0</f>
        <v>73.94</v>
      </c>
      <c r="AF29" s="6">
        <f>0.25+0.375+3.375+0.125+1.125+4+1.5+0+6+20</f>
        <v>36.75</v>
      </c>
      <c r="AG29" s="6">
        <f>0+0.5+4+0+0+4+0+1+1+0.125+0.125+2+0.75+0+1+0</f>
        <v>14.5</v>
      </c>
      <c r="AH29" s="6">
        <f>70+7.5+72+260+210+72+260+360+0+22.5+0+0.125+0+0.47+17+0+135+170+0+30</f>
        <v>1686.595</v>
      </c>
      <c r="AI29" s="6">
        <f t="shared" si="1"/>
        <v>4.3314150304671631E-2</v>
      </c>
      <c r="AJ29" s="6">
        <f t="shared" si="2"/>
        <v>1.6361995034980818E-2</v>
      </c>
      <c r="AK29" s="6">
        <f t="shared" si="3"/>
        <v>3.3373956217558114E-2</v>
      </c>
      <c r="AL29" s="6">
        <f t="shared" si="4"/>
        <v>1.6587677725118485E-2</v>
      </c>
      <c r="AM29" s="6">
        <f t="shared" si="5"/>
        <v>6.5447980139923265E-3</v>
      </c>
      <c r="AN29" s="6">
        <f t="shared" si="6"/>
        <v>0.7612705935454751</v>
      </c>
      <c r="AO29" s="7">
        <v>3</v>
      </c>
      <c r="AP29" s="7">
        <v>2</v>
      </c>
      <c r="AQ29" s="7">
        <v>0</v>
      </c>
      <c r="AR29" s="10" t="s">
        <v>258</v>
      </c>
      <c r="AS29" s="7" t="s">
        <v>262</v>
      </c>
      <c r="AT29" s="7">
        <v>0</v>
      </c>
      <c r="AU29" s="7">
        <f>5+10+5+5+5+10+10+10</f>
        <v>60</v>
      </c>
      <c r="AV29" s="7">
        <v>0</v>
      </c>
      <c r="AW29" s="3">
        <v>31</v>
      </c>
      <c r="AX29" s="3">
        <v>1</v>
      </c>
      <c r="AY29" s="3">
        <v>7</v>
      </c>
      <c r="AZ29" s="3">
        <v>1</v>
      </c>
      <c r="BA29" s="3">
        <v>0</v>
      </c>
      <c r="BB29" s="3">
        <v>1</v>
      </c>
      <c r="BC29" s="3">
        <v>1</v>
      </c>
      <c r="BD29" s="3">
        <v>1</v>
      </c>
    </row>
    <row r="30" spans="1:56" ht="20.100000000000001" customHeight="1" x14ac:dyDescent="0.25">
      <c r="A30" s="3" t="s">
        <v>138</v>
      </c>
      <c r="B30" s="3">
        <v>20</v>
      </c>
      <c r="C30" s="8">
        <v>44239</v>
      </c>
      <c r="D30" s="9">
        <v>0.58333333333333337</v>
      </c>
      <c r="E30" s="4">
        <v>66</v>
      </c>
      <c r="F30" s="3">
        <v>0</v>
      </c>
      <c r="G30" s="3">
        <v>0</v>
      </c>
      <c r="H30" s="3">
        <v>0</v>
      </c>
      <c r="I30" s="3">
        <v>0</v>
      </c>
      <c r="J30" s="9">
        <v>0.26041666666666669</v>
      </c>
      <c r="K30" s="3">
        <v>139.19999999999999</v>
      </c>
      <c r="L30" s="11">
        <f t="shared" ref="L30" si="21">K30-K29</f>
        <v>-1.8000000000000114</v>
      </c>
      <c r="M30" s="5">
        <f t="shared" ref="M30" si="22">AB29</f>
        <v>2215.5</v>
      </c>
      <c r="N30" s="11">
        <v>31</v>
      </c>
      <c r="O30" s="11">
        <v>33.25</v>
      </c>
      <c r="P30" s="11">
        <v>11</v>
      </c>
      <c r="Q30" s="11">
        <v>11</v>
      </c>
      <c r="R30" s="11">
        <v>20.5</v>
      </c>
      <c r="S30" s="11">
        <v>20.75</v>
      </c>
      <c r="T30" s="11">
        <v>17</v>
      </c>
      <c r="U30" s="11">
        <v>17</v>
      </c>
      <c r="V30" s="11">
        <v>18</v>
      </c>
      <c r="W30" s="11">
        <v>18</v>
      </c>
      <c r="X30" s="11">
        <v>8</v>
      </c>
      <c r="Y30" s="11">
        <v>8</v>
      </c>
      <c r="Z30" s="3" t="s">
        <v>272</v>
      </c>
      <c r="AA30" s="10" t="s">
        <v>271</v>
      </c>
      <c r="AB30" s="5">
        <f>788+81+92+322+100+60+200+105+60+10+5+200+60+10</f>
        <v>2093</v>
      </c>
      <c r="AC30" s="6">
        <f>24.35+0+0+29+8+4.5+20+0+0+0.5+0.375+20+0+0.5</f>
        <v>107.22499999999999</v>
      </c>
      <c r="AD30" s="6">
        <f>6.54+0+0+4+4.5+3+2+0+0+0+0+2+0+0</f>
        <v>22.04</v>
      </c>
      <c r="AE30" s="6">
        <f>51+2+2+4+5+6+5+1+0+1+0.125+5+0+1</f>
        <v>83.125</v>
      </c>
      <c r="AF30" s="6">
        <f>101+21+24+17+2+0+4+27+17+3+0.25+4+17+3</f>
        <v>240.25</v>
      </c>
      <c r="AG30" s="6">
        <f>23+4+2+18+1+0+2+3+0+1+0.125+2+0+1</f>
        <v>57.125</v>
      </c>
      <c r="AH30" s="6">
        <f>845.03+2+0+14+360+300+0+1+0+0+22.5+0+0+0</f>
        <v>1544.53</v>
      </c>
      <c r="AI30" s="6">
        <f t="shared" si="1"/>
        <v>5.1230291447682749E-2</v>
      </c>
      <c r="AJ30" s="6">
        <f t="shared" si="2"/>
        <v>1.0530339225991399E-2</v>
      </c>
      <c r="AK30" s="6">
        <f t="shared" si="3"/>
        <v>3.9715719063545152E-2</v>
      </c>
      <c r="AL30" s="6">
        <f t="shared" si="4"/>
        <v>0.11478738652651696</v>
      </c>
      <c r="AM30" s="6">
        <f t="shared" si="5"/>
        <v>2.7293358815097944E-2</v>
      </c>
      <c r="AN30" s="6">
        <f t="shared" si="6"/>
        <v>0.73795031055900617</v>
      </c>
      <c r="AO30" s="7">
        <v>3</v>
      </c>
      <c r="AP30" s="7">
        <v>1</v>
      </c>
      <c r="AQ30" s="7">
        <v>0</v>
      </c>
      <c r="AR30" s="7">
        <v>0</v>
      </c>
      <c r="AS30" s="7">
        <v>0</v>
      </c>
      <c r="AT30" s="7">
        <v>0</v>
      </c>
      <c r="AU30" s="7">
        <v>0</v>
      </c>
      <c r="AV30" s="7">
        <v>0</v>
      </c>
      <c r="AW30" s="7">
        <v>31</v>
      </c>
      <c r="AX30" s="7">
        <v>1</v>
      </c>
      <c r="AY30" s="7">
        <v>5</v>
      </c>
      <c r="AZ30" s="7">
        <v>1</v>
      </c>
      <c r="BA30" s="7">
        <v>1</v>
      </c>
      <c r="BB30" s="7">
        <v>1</v>
      </c>
      <c r="BC30" s="7">
        <v>1</v>
      </c>
      <c r="BD30" s="7">
        <v>1</v>
      </c>
    </row>
    <row r="31" spans="1:56" ht="20.100000000000001" customHeight="1" x14ac:dyDescent="0.25">
      <c r="A31" s="3" t="s">
        <v>19</v>
      </c>
      <c r="B31" s="3">
        <v>21</v>
      </c>
      <c r="C31" s="8">
        <v>44240</v>
      </c>
      <c r="D31" s="9">
        <v>0.58333333333333337</v>
      </c>
      <c r="E31" s="4">
        <v>61</v>
      </c>
      <c r="F31" s="3">
        <v>0</v>
      </c>
      <c r="G31" s="3">
        <v>0</v>
      </c>
      <c r="H31" s="3">
        <v>0</v>
      </c>
      <c r="I31" s="3">
        <v>0</v>
      </c>
      <c r="J31" s="9">
        <v>0.1875</v>
      </c>
      <c r="K31" s="3">
        <v>140.80000000000001</v>
      </c>
      <c r="L31" s="11">
        <f t="shared" ref="L31" si="23">K31-K30</f>
        <v>1.6000000000000227</v>
      </c>
      <c r="M31" s="5">
        <f t="shared" ref="M31" si="24">AB30</f>
        <v>2093</v>
      </c>
      <c r="N31" s="11">
        <v>31.5</v>
      </c>
      <c r="O31" s="11">
        <v>32.75</v>
      </c>
      <c r="P31" s="11">
        <v>10.75</v>
      </c>
      <c r="Q31" s="11">
        <v>11</v>
      </c>
      <c r="R31" s="11">
        <v>30.75</v>
      </c>
      <c r="S31" s="11">
        <v>21</v>
      </c>
      <c r="T31" s="11">
        <v>18</v>
      </c>
      <c r="U31" s="11">
        <v>16</v>
      </c>
      <c r="V31" s="11">
        <v>18</v>
      </c>
      <c r="W31" s="11">
        <v>17</v>
      </c>
      <c r="X31" s="11">
        <v>8</v>
      </c>
      <c r="Y31" s="11">
        <v>10</v>
      </c>
      <c r="Z31" s="3" t="s">
        <v>275</v>
      </c>
      <c r="AA31" s="10" t="s">
        <v>274</v>
      </c>
      <c r="AB31" s="5">
        <f>788+81+322+322+120+7.5+72+80</f>
        <v>1792.5</v>
      </c>
      <c r="AC31" s="6">
        <f>24.34+0+29+29+10+0.53+0+6</f>
        <v>98.87</v>
      </c>
      <c r="AD31" s="6">
        <f>6.54+0+4+4+7+0.15+0+4</f>
        <v>25.689999999999998</v>
      </c>
      <c r="AE31" s="6">
        <f>51+2+4+4+2+0.6125+2+5</f>
        <v>70.612499999999997</v>
      </c>
      <c r="AF31" s="6">
        <f>101+21+17+17+0+0.025+14+0</f>
        <v>170.02500000000001</v>
      </c>
      <c r="AG31" s="6">
        <f>23+4+18+18+2+0.0125+2+0</f>
        <v>67.012500000000003</v>
      </c>
      <c r="AH31" s="6">
        <f>845.03+2+14+14+30+9.25+36+130</f>
        <v>1080.28</v>
      </c>
      <c r="AI31" s="6">
        <f t="shared" si="1"/>
        <v>5.5157601115760117E-2</v>
      </c>
      <c r="AJ31" s="6">
        <f t="shared" si="2"/>
        <v>1.4331938633193863E-2</v>
      </c>
      <c r="AK31" s="6">
        <f t="shared" si="3"/>
        <v>3.9393305439330541E-2</v>
      </c>
      <c r="AL31" s="6">
        <f t="shared" si="4"/>
        <v>9.485355648535565E-2</v>
      </c>
      <c r="AM31" s="6">
        <f t="shared" si="5"/>
        <v>3.7384937238493725E-2</v>
      </c>
      <c r="AN31" s="6">
        <f t="shared" si="6"/>
        <v>0.60266666666666668</v>
      </c>
      <c r="AO31" s="7">
        <v>3</v>
      </c>
      <c r="AP31" s="7">
        <v>1</v>
      </c>
      <c r="AQ31" s="7">
        <v>0</v>
      </c>
      <c r="AR31" s="3">
        <v>0</v>
      </c>
      <c r="AS31" s="3">
        <v>0</v>
      </c>
      <c r="AT31" s="7">
        <v>0</v>
      </c>
      <c r="AU31" s="7">
        <v>0</v>
      </c>
      <c r="AV31" s="7">
        <v>0</v>
      </c>
      <c r="AW31" s="3">
        <v>31</v>
      </c>
      <c r="AX31" s="3">
        <v>1</v>
      </c>
      <c r="AY31" s="3">
        <v>7</v>
      </c>
      <c r="AZ31" s="3">
        <v>1</v>
      </c>
      <c r="BA31" s="3">
        <v>1</v>
      </c>
      <c r="BB31" s="3">
        <v>1</v>
      </c>
      <c r="BC31" s="3">
        <v>1</v>
      </c>
      <c r="BD31" s="3">
        <v>1</v>
      </c>
    </row>
    <row r="32" spans="1:56" ht="20.100000000000001" customHeight="1" x14ac:dyDescent="0.25">
      <c r="A32" s="3" t="s">
        <v>23</v>
      </c>
      <c r="B32" s="3">
        <v>22</v>
      </c>
      <c r="C32" s="8">
        <v>44241</v>
      </c>
      <c r="D32" s="9">
        <v>0.58333333333333337</v>
      </c>
      <c r="E32" s="4">
        <v>64</v>
      </c>
      <c r="F32" s="3">
        <v>0</v>
      </c>
      <c r="G32" s="3">
        <v>0</v>
      </c>
      <c r="H32" s="3">
        <v>0</v>
      </c>
      <c r="I32" s="3">
        <v>0</v>
      </c>
      <c r="J32" s="9">
        <v>0.23958333333333334</v>
      </c>
      <c r="K32" s="3">
        <v>140.6</v>
      </c>
      <c r="L32" s="11">
        <f t="shared" ref="L32" si="25">K32-K31</f>
        <v>-0.20000000000001705</v>
      </c>
      <c r="M32" s="5">
        <f t="shared" ref="M32" si="26">AB31</f>
        <v>1792.5</v>
      </c>
      <c r="N32" s="11">
        <v>31.5</v>
      </c>
      <c r="O32" s="11">
        <v>33</v>
      </c>
      <c r="P32" s="11">
        <v>11</v>
      </c>
      <c r="Q32" s="11">
        <v>11</v>
      </c>
      <c r="R32" s="11">
        <v>20.5</v>
      </c>
      <c r="S32" s="11">
        <v>20.5</v>
      </c>
      <c r="T32" s="11">
        <v>18</v>
      </c>
      <c r="U32" s="11">
        <v>17</v>
      </c>
      <c r="V32" s="11">
        <v>19</v>
      </c>
      <c r="W32" s="11">
        <v>18</v>
      </c>
      <c r="X32" s="11">
        <v>8</v>
      </c>
      <c r="Y32" s="11">
        <v>8</v>
      </c>
      <c r="Z32" s="3" t="s">
        <v>278</v>
      </c>
      <c r="AA32" s="10" t="s">
        <v>277</v>
      </c>
      <c r="AB32" s="5">
        <f>1320+360+240+644+162+120+70+72</f>
        <v>2988</v>
      </c>
      <c r="AC32" s="6">
        <f>10+14+18+58+0+10+5+0</f>
        <v>115</v>
      </c>
      <c r="AD32" s="6">
        <f>2+4+12+8+0+7+3+0</f>
        <v>36</v>
      </c>
      <c r="AE32" s="6">
        <f>92+12+15+8+4+2+5+2</f>
        <v>140</v>
      </c>
      <c r="AF32" s="6">
        <f>244+48+0+34+42+0+0+14</f>
        <v>382</v>
      </c>
      <c r="AG32" s="6">
        <f>44+12+0+36+8+2+0+2</f>
        <v>104</v>
      </c>
      <c r="AH32" s="6">
        <f>0+1840+390+28+4+30+170+36</f>
        <v>2498</v>
      </c>
      <c r="AI32" s="6">
        <f t="shared" si="1"/>
        <v>3.8487282463186077E-2</v>
      </c>
      <c r="AJ32" s="6">
        <f t="shared" si="2"/>
        <v>1.2048192771084338E-2</v>
      </c>
      <c r="AK32" s="6">
        <f t="shared" si="3"/>
        <v>4.6854082998661312E-2</v>
      </c>
      <c r="AL32" s="6">
        <f t="shared" si="4"/>
        <v>0.12784471218206159</v>
      </c>
      <c r="AM32" s="6">
        <f t="shared" si="5"/>
        <v>3.4805890227576977E-2</v>
      </c>
      <c r="AN32" s="6">
        <f t="shared" si="6"/>
        <v>0.83601070950468537</v>
      </c>
      <c r="AO32" s="7">
        <v>3</v>
      </c>
      <c r="AP32" s="7">
        <v>1</v>
      </c>
      <c r="AQ32" s="7">
        <v>0</v>
      </c>
      <c r="AR32" s="7">
        <v>0</v>
      </c>
      <c r="AS32" s="7">
        <v>0</v>
      </c>
      <c r="AT32" s="7">
        <v>0</v>
      </c>
      <c r="AU32" s="7">
        <v>0</v>
      </c>
      <c r="AV32" s="7">
        <v>0</v>
      </c>
      <c r="AW32" s="3">
        <v>31</v>
      </c>
      <c r="AX32" s="3">
        <v>1</v>
      </c>
      <c r="AY32" s="3">
        <v>7.5</v>
      </c>
      <c r="AZ32" s="3">
        <v>1</v>
      </c>
      <c r="BA32" s="3">
        <v>1</v>
      </c>
      <c r="BB32" s="3">
        <v>1</v>
      </c>
      <c r="BC32" s="3">
        <v>1</v>
      </c>
      <c r="BD32" s="3">
        <v>1</v>
      </c>
    </row>
    <row r="33" spans="1:56" ht="20.100000000000001" customHeight="1" x14ac:dyDescent="0.25">
      <c r="A33" s="3" t="s">
        <v>15</v>
      </c>
      <c r="B33" s="3">
        <v>23</v>
      </c>
      <c r="C33" s="8">
        <v>44242</v>
      </c>
      <c r="D33" s="9">
        <v>0.33333333333333331</v>
      </c>
      <c r="E33" s="4">
        <v>45</v>
      </c>
      <c r="F33" s="3">
        <v>15</v>
      </c>
      <c r="G33" s="3">
        <v>3</v>
      </c>
      <c r="H33" s="3">
        <v>45</v>
      </c>
      <c r="I33" s="3">
        <v>0</v>
      </c>
      <c r="J33" s="9">
        <v>0.25694444444444448</v>
      </c>
      <c r="K33" s="3">
        <v>142.80000000000001</v>
      </c>
      <c r="L33" s="11">
        <f t="shared" ref="L33" si="27">K33-K32</f>
        <v>2.2000000000000171</v>
      </c>
      <c r="M33" s="5">
        <f t="shared" ref="M33" si="28">AB32</f>
        <v>2988</v>
      </c>
      <c r="N33" s="11">
        <v>31.75</v>
      </c>
      <c r="O33" s="11">
        <v>33.5</v>
      </c>
      <c r="P33" s="11">
        <v>11</v>
      </c>
      <c r="Q33" s="11">
        <v>11.25</v>
      </c>
      <c r="R33" s="11">
        <v>20.5</v>
      </c>
      <c r="S33" s="11">
        <v>20.25</v>
      </c>
      <c r="T33" s="11">
        <v>17</v>
      </c>
      <c r="U33" s="11">
        <v>17</v>
      </c>
      <c r="V33" s="11">
        <v>20</v>
      </c>
      <c r="W33" s="11">
        <v>19</v>
      </c>
      <c r="X33" s="11">
        <v>8</v>
      </c>
      <c r="Y33" s="11">
        <v>7</v>
      </c>
      <c r="Z33" s="3" t="s">
        <v>283</v>
      </c>
      <c r="AA33" s="10" t="s">
        <v>285</v>
      </c>
      <c r="AB33" s="5">
        <f>57+778.5+60+70+81+92+5</f>
        <v>1143.5</v>
      </c>
      <c r="AC33" s="6">
        <f>0+44+5+5+0+0+0</f>
        <v>54</v>
      </c>
      <c r="AD33" s="6">
        <f>0+12+3.5+3+0+0+0</f>
        <v>18.5</v>
      </c>
      <c r="AE33" s="6">
        <f>0+50.5+1+5+2+2+0</f>
        <v>60.5</v>
      </c>
      <c r="AF33" s="6">
        <f>15+51+0+0+21+24+1</f>
        <v>112</v>
      </c>
      <c r="AG33" s="6">
        <f>3+16+1+0+4+2+0</f>
        <v>26</v>
      </c>
      <c r="AH33" s="6">
        <f>1+971+15+170+2+0+0</f>
        <v>1159</v>
      </c>
      <c r="AI33" s="6">
        <f t="shared" si="1"/>
        <v>4.7223436816790552E-2</v>
      </c>
      <c r="AJ33" s="6">
        <f t="shared" si="2"/>
        <v>1.6178399650196764E-2</v>
      </c>
      <c r="AK33" s="6">
        <f t="shared" si="3"/>
        <v>5.2907739396589416E-2</v>
      </c>
      <c r="AL33" s="6">
        <f t="shared" si="4"/>
        <v>9.7944905990380415E-2</v>
      </c>
      <c r="AM33" s="6">
        <f t="shared" si="5"/>
        <v>2.2737210319195452E-2</v>
      </c>
      <c r="AN33" s="6">
        <f t="shared" si="6"/>
        <v>1.0135548753825974</v>
      </c>
      <c r="AO33" s="7">
        <v>3</v>
      </c>
      <c r="AP33" s="7">
        <v>1</v>
      </c>
      <c r="AQ33" s="7">
        <v>0</v>
      </c>
      <c r="AR33" s="10">
        <v>0</v>
      </c>
      <c r="AS33" s="7">
        <v>0</v>
      </c>
      <c r="AT33" s="7">
        <v>0</v>
      </c>
      <c r="AU33" s="7">
        <v>0</v>
      </c>
      <c r="AV33" s="7">
        <v>0</v>
      </c>
      <c r="AW33" s="3">
        <v>31</v>
      </c>
      <c r="AX33" s="3">
        <v>1</v>
      </c>
      <c r="AY33" s="3">
        <v>6</v>
      </c>
      <c r="AZ33" s="3">
        <v>1</v>
      </c>
      <c r="BA33" s="3">
        <v>1</v>
      </c>
      <c r="BB33" s="3">
        <v>1</v>
      </c>
      <c r="BC33" s="3">
        <v>1</v>
      </c>
      <c r="BD33" s="3">
        <v>1</v>
      </c>
    </row>
    <row r="34" spans="1:56" ht="20.100000000000001" customHeight="1" x14ac:dyDescent="0.25">
      <c r="A34" s="3" t="s">
        <v>16</v>
      </c>
      <c r="B34" s="3">
        <v>24</v>
      </c>
      <c r="C34" s="8">
        <v>44243</v>
      </c>
      <c r="D34" s="9">
        <v>0.73958333333333337</v>
      </c>
      <c r="E34" s="4">
        <v>59</v>
      </c>
      <c r="F34" s="3">
        <v>0</v>
      </c>
      <c r="G34" s="3">
        <v>0</v>
      </c>
      <c r="H34" s="3">
        <v>0</v>
      </c>
      <c r="I34" s="3">
        <v>0</v>
      </c>
      <c r="J34" s="9">
        <v>0.2638888888888889</v>
      </c>
      <c r="K34" s="3">
        <v>141.80000000000001</v>
      </c>
      <c r="L34" s="11">
        <f t="shared" ref="L34" si="29">K34-K33</f>
        <v>-1</v>
      </c>
      <c r="M34" s="5">
        <f t="shared" ref="M34" si="30">AB33</f>
        <v>1143.5</v>
      </c>
      <c r="N34" s="11">
        <v>31.75</v>
      </c>
      <c r="O34" s="11">
        <v>33.5</v>
      </c>
      <c r="P34" s="11">
        <v>10.875</v>
      </c>
      <c r="Q34" s="11">
        <v>11.125</v>
      </c>
      <c r="R34" s="11">
        <v>20.875</v>
      </c>
      <c r="S34" s="11">
        <v>20.875</v>
      </c>
      <c r="T34" s="11">
        <v>17</v>
      </c>
      <c r="U34" s="11">
        <v>16</v>
      </c>
      <c r="V34" s="11">
        <v>18</v>
      </c>
      <c r="W34" s="11">
        <v>18</v>
      </c>
      <c r="X34" s="11">
        <v>8</v>
      </c>
      <c r="Y34" s="11">
        <v>8</v>
      </c>
      <c r="Z34" s="3" t="s">
        <v>291</v>
      </c>
      <c r="AA34" s="10" t="s">
        <v>290</v>
      </c>
      <c r="AB34" s="5">
        <f>140+120+60+200+160+81+389.25+60+195.2+148+80+292.8+330+389.25</f>
        <v>2645.5</v>
      </c>
      <c r="AC34" s="6">
        <f>10+14+5+2+10+22+5+0+0+5+0+1.5+22</f>
        <v>96.5</v>
      </c>
      <c r="AD34" s="6">
        <f>3+2+3.5+0+7+6+3.5+0+0+3.5+0+0+6</f>
        <v>34.5</v>
      </c>
      <c r="AE34" s="6">
        <f>12+0+1+4+12+2+25.25+1+0+4+6+0+6+25.25</f>
        <v>98.5</v>
      </c>
      <c r="AF34" s="6">
        <f>0+0+0+42+2+21+25.5+2+6.4+28+1+9.6+75+25.5</f>
        <v>238</v>
      </c>
      <c r="AG34" s="6">
        <f>0+0+1+4+0+4+8+0+0+4+0+0+3+8</f>
        <v>32</v>
      </c>
      <c r="AH34" s="6">
        <f>140+0+15+40+380+2+485.5+15+0+72+190+0+930+485.5</f>
        <v>2755</v>
      </c>
      <c r="AI34" s="6">
        <f t="shared" si="1"/>
        <v>3.6477036477036477E-2</v>
      </c>
      <c r="AJ34" s="6">
        <f t="shared" si="2"/>
        <v>1.3041013041013041E-2</v>
      </c>
      <c r="AK34" s="6">
        <f t="shared" si="3"/>
        <v>3.7233037233037232E-2</v>
      </c>
      <c r="AL34" s="6">
        <f t="shared" si="4"/>
        <v>8.9964089964089958E-2</v>
      </c>
      <c r="AM34" s="6">
        <f t="shared" si="5"/>
        <v>1.2096012096012096E-2</v>
      </c>
      <c r="AN34" s="6">
        <f t="shared" si="6"/>
        <v>1.0413910413910414</v>
      </c>
      <c r="AO34" s="7">
        <v>3</v>
      </c>
      <c r="AP34" s="7">
        <v>4</v>
      </c>
      <c r="AQ34" s="7">
        <v>0</v>
      </c>
      <c r="AR34" s="10">
        <v>0</v>
      </c>
      <c r="AS34" s="7">
        <v>0</v>
      </c>
      <c r="AT34" s="7">
        <v>0</v>
      </c>
      <c r="AU34" s="7">
        <v>0</v>
      </c>
      <c r="AV34" s="7">
        <v>0</v>
      </c>
      <c r="AW34" s="7">
        <v>31</v>
      </c>
      <c r="AX34" s="7">
        <v>1</v>
      </c>
      <c r="AY34" s="7">
        <v>7</v>
      </c>
      <c r="AZ34" s="7">
        <v>1</v>
      </c>
      <c r="BA34" s="7">
        <v>0</v>
      </c>
      <c r="BB34" s="7">
        <v>0</v>
      </c>
      <c r="BC34" s="7">
        <v>1</v>
      </c>
      <c r="BD34" s="7">
        <v>1</v>
      </c>
    </row>
    <row r="35" spans="1:56" ht="20.100000000000001" customHeight="1" x14ac:dyDescent="0.25">
      <c r="A35" s="3" t="s">
        <v>17</v>
      </c>
      <c r="B35" s="3">
        <v>25</v>
      </c>
      <c r="C35" s="8">
        <v>44244</v>
      </c>
      <c r="D35" s="9">
        <v>0.66666666666666663</v>
      </c>
      <c r="E35" s="4">
        <v>66</v>
      </c>
      <c r="F35" s="3">
        <v>0</v>
      </c>
      <c r="G35" s="3">
        <v>0</v>
      </c>
      <c r="H35" s="3">
        <v>0</v>
      </c>
      <c r="I35" s="3">
        <v>1</v>
      </c>
      <c r="J35" s="9">
        <v>0.25</v>
      </c>
      <c r="K35" s="3">
        <v>141</v>
      </c>
      <c r="L35" s="11">
        <f t="shared" ref="L35" si="31">K35-K34</f>
        <v>-0.80000000000001137</v>
      </c>
      <c r="M35" s="5">
        <f t="shared" ref="M35" si="32">AB34</f>
        <v>2645.5</v>
      </c>
      <c r="N35" s="11">
        <v>31.625</v>
      </c>
      <c r="O35" s="11">
        <v>32.75</v>
      </c>
      <c r="P35" s="11">
        <v>10.875</v>
      </c>
      <c r="Q35" s="11">
        <v>10.875</v>
      </c>
      <c r="R35" s="11">
        <v>19.75</v>
      </c>
      <c r="S35" s="11">
        <v>20</v>
      </c>
      <c r="T35" s="11">
        <v>16</v>
      </c>
      <c r="U35" s="11">
        <v>15</v>
      </c>
      <c r="V35" s="11">
        <v>17</v>
      </c>
      <c r="W35" s="11">
        <v>17</v>
      </c>
      <c r="X35" s="11">
        <v>7</v>
      </c>
      <c r="Y35" s="11">
        <v>8</v>
      </c>
      <c r="Z35" s="3" t="s">
        <v>298</v>
      </c>
      <c r="AA35" s="10" t="s">
        <v>297</v>
      </c>
      <c r="AB35" s="5">
        <f>330*3+92*2+162+472.5+80+20</f>
        <v>1908.5</v>
      </c>
      <c r="AC35" s="6">
        <f>1.5*3+0*2+0+3.75+5+1.5</f>
        <v>14.75</v>
      </c>
      <c r="AD35" s="6">
        <f>0*3+0*2+0+0+3.5+1</f>
        <v>4.5</v>
      </c>
      <c r="AE35" s="6">
        <f>6*3+2*2+4+31.5+6+2</f>
        <v>65.5</v>
      </c>
      <c r="AF35" s="6">
        <f>75*3+24*2+42+79.5+1+0</f>
        <v>395.5</v>
      </c>
      <c r="AG35" s="6">
        <f>3*3+2*2+8+9+0+0</f>
        <v>30</v>
      </c>
      <c r="AH35" s="6">
        <f>930*3+0*2+4+453.75+190+100</f>
        <v>3537.75</v>
      </c>
      <c r="AI35" s="6">
        <f t="shared" si="1"/>
        <v>7.7285826565365468E-3</v>
      </c>
      <c r="AJ35" s="6">
        <f t="shared" si="2"/>
        <v>2.3578726748755569E-3</v>
      </c>
      <c r="AK35" s="6">
        <f t="shared" si="3"/>
        <v>3.4320146712077546E-2</v>
      </c>
      <c r="AL35" s="6">
        <f t="shared" si="4"/>
        <v>0.20723080953628503</v>
      </c>
      <c r="AM35" s="6">
        <f t="shared" si="5"/>
        <v>1.5719151165837046E-2</v>
      </c>
      <c r="AN35" s="6">
        <f t="shared" si="6"/>
        <v>1.8536809012313336</v>
      </c>
      <c r="AO35" s="7">
        <v>3</v>
      </c>
      <c r="AP35" s="7">
        <v>1</v>
      </c>
      <c r="AQ35" s="7">
        <v>0</v>
      </c>
      <c r="AR35" s="10" t="s">
        <v>292</v>
      </c>
      <c r="AS35" s="3" t="s">
        <v>293</v>
      </c>
      <c r="AT35" s="7">
        <v>0</v>
      </c>
      <c r="AU35" s="7">
        <v>5</v>
      </c>
      <c r="AV35" s="7">
        <v>0</v>
      </c>
      <c r="AW35" s="3">
        <v>31</v>
      </c>
      <c r="AX35" s="3">
        <v>1</v>
      </c>
      <c r="AY35" s="3">
        <v>7</v>
      </c>
      <c r="AZ35" s="3">
        <v>1</v>
      </c>
      <c r="BA35" s="3">
        <v>1</v>
      </c>
      <c r="BB35" s="3">
        <v>0</v>
      </c>
      <c r="BC35" s="3">
        <v>1</v>
      </c>
      <c r="BD35" s="3">
        <v>1</v>
      </c>
    </row>
    <row r="36" spans="1:56" ht="20.100000000000001" customHeight="1" x14ac:dyDescent="0.25">
      <c r="A36" s="3" t="s">
        <v>18</v>
      </c>
      <c r="B36" s="3">
        <v>26</v>
      </c>
      <c r="C36" s="8" t="s">
        <v>299</v>
      </c>
      <c r="D36" s="9">
        <v>0.72916666666666663</v>
      </c>
      <c r="E36" s="4">
        <v>65</v>
      </c>
      <c r="F36" s="3">
        <v>0</v>
      </c>
      <c r="G36" s="3">
        <v>0</v>
      </c>
      <c r="H36" s="3">
        <v>0</v>
      </c>
      <c r="I36" s="3">
        <v>0</v>
      </c>
      <c r="J36" s="9">
        <v>0.23958333333333334</v>
      </c>
      <c r="K36" s="3">
        <v>141</v>
      </c>
      <c r="L36" s="11">
        <f t="shared" ref="L36:L37" si="33">K36-K35</f>
        <v>0</v>
      </c>
      <c r="M36" s="5">
        <f t="shared" ref="M36:M37" si="34">AB35</f>
        <v>1908.5</v>
      </c>
      <c r="N36" s="11">
        <v>31.75</v>
      </c>
      <c r="O36" s="11">
        <v>33.25</v>
      </c>
      <c r="P36" s="11">
        <v>10.875</v>
      </c>
      <c r="Q36" s="11">
        <v>11.125</v>
      </c>
      <c r="R36" s="11">
        <v>20.25</v>
      </c>
      <c r="S36" s="11">
        <v>20.25</v>
      </c>
      <c r="T36" s="11">
        <v>16</v>
      </c>
      <c r="U36" s="11">
        <v>16</v>
      </c>
      <c r="V36" s="11">
        <v>18</v>
      </c>
      <c r="W36" s="11">
        <v>18</v>
      </c>
      <c r="X36" s="11">
        <v>8</v>
      </c>
      <c r="Y36" s="11">
        <v>8</v>
      </c>
      <c r="Z36" s="3" t="s">
        <v>300</v>
      </c>
      <c r="AA36" s="10" t="s">
        <v>301</v>
      </c>
      <c r="AB36" s="5">
        <f>945+120+40+72+100+140+120+243+220+60+35</f>
        <v>2095</v>
      </c>
      <c r="AC36" s="6">
        <f>7.5+10+3+0+6.25+10+14+0+4+0+2.5</f>
        <v>57.25</v>
      </c>
      <c r="AD36" s="6">
        <f>0+7+2+0+4.375+3+2+0+0+0+1.5</f>
        <v>19.875</v>
      </c>
      <c r="AE36" s="6">
        <f>63+2+4+2+6+12+0+6+4+0+2.5</f>
        <v>101.5</v>
      </c>
      <c r="AF36" s="6">
        <f>159+0+0+14+1.25+0+0+63+50+17+0</f>
        <v>304.25</v>
      </c>
      <c r="AG36" s="6">
        <f>18+2+0+2+0+0+0+12+2+0+0</f>
        <v>36</v>
      </c>
      <c r="AH36" s="6">
        <f>907.5+30+200+36+237.5+140+0+6+620+0+85</f>
        <v>2262</v>
      </c>
      <c r="AI36" s="6">
        <f t="shared" si="1"/>
        <v>2.7326968973747017E-2</v>
      </c>
      <c r="AJ36" s="6">
        <f t="shared" si="2"/>
        <v>9.4868735083532222E-3</v>
      </c>
      <c r="AK36" s="6">
        <f t="shared" si="3"/>
        <v>4.8448687350835323E-2</v>
      </c>
      <c r="AL36" s="6">
        <f t="shared" si="4"/>
        <v>0.14522673031026254</v>
      </c>
      <c r="AM36" s="6">
        <f t="shared" si="5"/>
        <v>1.7183770883054894E-2</v>
      </c>
      <c r="AN36" s="6">
        <f t="shared" si="6"/>
        <v>1.0797136038186157</v>
      </c>
      <c r="AO36" s="7">
        <v>3</v>
      </c>
      <c r="AP36" s="7">
        <v>3</v>
      </c>
      <c r="AQ36" s="7">
        <v>0</v>
      </c>
      <c r="AR36" s="10">
        <v>0</v>
      </c>
      <c r="AS36" s="7">
        <v>0</v>
      </c>
      <c r="AT36" s="7">
        <v>0</v>
      </c>
      <c r="AU36" s="7">
        <v>0</v>
      </c>
      <c r="AV36" s="7">
        <v>0</v>
      </c>
      <c r="AW36" s="7">
        <v>31</v>
      </c>
      <c r="AX36" s="7">
        <v>0</v>
      </c>
      <c r="AY36" s="7">
        <v>6.5</v>
      </c>
      <c r="AZ36" s="7">
        <v>1</v>
      </c>
      <c r="BA36" s="7">
        <v>1</v>
      </c>
      <c r="BB36" s="7">
        <v>0</v>
      </c>
      <c r="BC36" s="7">
        <v>1</v>
      </c>
      <c r="BD36" s="7">
        <v>1</v>
      </c>
    </row>
    <row r="37" spans="1:56" ht="20.100000000000001" customHeight="1" x14ac:dyDescent="0.25">
      <c r="A37" s="3" t="s">
        <v>138</v>
      </c>
      <c r="B37" s="3">
        <v>0</v>
      </c>
      <c r="C37" s="8">
        <v>44246</v>
      </c>
      <c r="D37" s="9">
        <v>0.70833333333333337</v>
      </c>
      <c r="E37" s="4">
        <v>66</v>
      </c>
      <c r="F37" s="3">
        <v>0</v>
      </c>
      <c r="G37" s="3">
        <v>0</v>
      </c>
      <c r="H37" s="3">
        <v>0</v>
      </c>
      <c r="I37" s="3">
        <v>0</v>
      </c>
      <c r="J37" s="9">
        <v>0.23958333333333334</v>
      </c>
      <c r="K37" s="3">
        <v>141</v>
      </c>
      <c r="L37" s="11">
        <f t="shared" si="33"/>
        <v>0</v>
      </c>
      <c r="M37" s="5">
        <f t="shared" si="34"/>
        <v>2095</v>
      </c>
      <c r="N37" s="11">
        <v>31.5</v>
      </c>
      <c r="O37" s="11">
        <v>33.5</v>
      </c>
      <c r="P37" s="11">
        <v>10.875</v>
      </c>
      <c r="Q37" s="11">
        <v>11</v>
      </c>
      <c r="R37" s="11">
        <v>20</v>
      </c>
      <c r="S37" s="11">
        <v>20</v>
      </c>
      <c r="T37" s="11">
        <v>16</v>
      </c>
      <c r="U37" s="11">
        <v>16</v>
      </c>
      <c r="V37" s="11">
        <v>17</v>
      </c>
      <c r="W37" s="11">
        <v>17</v>
      </c>
      <c r="X37" s="11">
        <v>7</v>
      </c>
      <c r="Y37" s="11">
        <v>7</v>
      </c>
      <c r="Z37" s="3" t="s">
        <v>304</v>
      </c>
      <c r="AA37" s="10" t="s">
        <v>305</v>
      </c>
      <c r="AB37" s="5">
        <f>472.5+80+60+107+57+216+350+105+81+200+160+322</f>
        <v>2210.5</v>
      </c>
      <c r="AC37" s="6">
        <f>3.75+5+5+0+0+0+25+0+0+2+10+29</f>
        <v>79.75</v>
      </c>
      <c r="AD37" s="6">
        <f>0+3.5+3.5+0+0+0+15+0+0+0+7+4</f>
        <v>33</v>
      </c>
      <c r="AE37" s="6">
        <f>31.5+6+1+1+0+6+25+1+2+4+12+4</f>
        <v>93.5</v>
      </c>
      <c r="AF37" s="6">
        <f>79.5+1+0+28+15+42+0+27+21+42+2+17</f>
        <v>274.5</v>
      </c>
      <c r="AG37" s="6">
        <f>9+0+1+3+3+6+0+3+4+4+0+18</f>
        <v>51</v>
      </c>
      <c r="AH37" s="6">
        <f>453.75+190+15+3+1+108+850+1+2+40+380+14</f>
        <v>2057.75</v>
      </c>
      <c r="AI37" s="6">
        <f t="shared" si="1"/>
        <v>3.6077810450124405E-2</v>
      </c>
      <c r="AJ37" s="6">
        <f t="shared" si="2"/>
        <v>1.4928749151775616E-2</v>
      </c>
      <c r="AK37" s="6">
        <f t="shared" si="3"/>
        <v>4.2298122596697581E-2</v>
      </c>
      <c r="AL37" s="6">
        <f t="shared" si="4"/>
        <v>0.12418004976249718</v>
      </c>
      <c r="AM37" s="6">
        <f t="shared" si="5"/>
        <v>2.3071703234562316E-2</v>
      </c>
      <c r="AN37" s="6">
        <f t="shared" si="6"/>
        <v>0.93089798688079617</v>
      </c>
      <c r="AO37" s="7">
        <v>3</v>
      </c>
      <c r="AP37" s="7">
        <v>1</v>
      </c>
      <c r="AQ37" s="7">
        <v>1</v>
      </c>
      <c r="AR37" s="10">
        <v>0</v>
      </c>
      <c r="AS37" s="7">
        <v>0</v>
      </c>
      <c r="AT37" s="7">
        <v>0</v>
      </c>
      <c r="AU37" s="7">
        <v>0</v>
      </c>
      <c r="AV37" s="7">
        <v>0</v>
      </c>
      <c r="AW37" s="7">
        <v>31</v>
      </c>
      <c r="AX37" s="7">
        <v>1</v>
      </c>
      <c r="AY37" s="7">
        <v>7.25</v>
      </c>
      <c r="AZ37" s="7">
        <v>1</v>
      </c>
      <c r="BA37" s="7">
        <v>1</v>
      </c>
      <c r="BB37" s="7">
        <v>1</v>
      </c>
      <c r="BC37" s="7">
        <v>1</v>
      </c>
      <c r="BD37" s="7">
        <v>1</v>
      </c>
    </row>
    <row r="38" spans="1:56" ht="20.100000000000001" customHeight="1" x14ac:dyDescent="0.25">
      <c r="A38" s="3" t="s">
        <v>19</v>
      </c>
      <c r="B38" s="3">
        <v>1</v>
      </c>
      <c r="C38" s="8">
        <v>44247</v>
      </c>
      <c r="D38" s="9">
        <v>0.64583333333333337</v>
      </c>
      <c r="E38" s="4">
        <v>68</v>
      </c>
      <c r="F38" s="3">
        <v>9</v>
      </c>
      <c r="G38" s="3">
        <v>5</v>
      </c>
      <c r="H38" s="3">
        <v>45</v>
      </c>
      <c r="I38" s="3">
        <v>0</v>
      </c>
      <c r="J38" s="9">
        <v>0.26041666666666669</v>
      </c>
      <c r="K38" s="3">
        <v>139.6</v>
      </c>
      <c r="L38" s="11">
        <f t="shared" ref="L38" si="35">K38-K37</f>
        <v>-1.4000000000000057</v>
      </c>
      <c r="M38" s="5">
        <f t="shared" ref="M38" si="36">AB37</f>
        <v>2210.5</v>
      </c>
      <c r="N38" s="11">
        <v>31</v>
      </c>
      <c r="O38" s="11">
        <v>33</v>
      </c>
      <c r="P38" s="11">
        <v>10.875</v>
      </c>
      <c r="Q38" s="11">
        <v>10.9375</v>
      </c>
      <c r="R38" s="11">
        <v>20.25</v>
      </c>
      <c r="S38" s="11">
        <v>20.25</v>
      </c>
      <c r="T38" s="11">
        <v>16</v>
      </c>
      <c r="U38" s="11">
        <v>16</v>
      </c>
      <c r="V38" s="11">
        <v>17</v>
      </c>
      <c r="W38" s="11">
        <v>17</v>
      </c>
      <c r="X38" s="11">
        <v>7</v>
      </c>
      <c r="Y38" s="11">
        <v>8</v>
      </c>
      <c r="Z38" s="3" t="s">
        <v>310</v>
      </c>
      <c r="AA38" s="10" t="s">
        <v>311</v>
      </c>
      <c r="AB38" s="5">
        <f>400+160+162+105+57+62+551.7+106.7+140+322</f>
        <v>2066.4</v>
      </c>
      <c r="AC38" s="6">
        <f>4+10+0+0+0+0.1+20.9+6.7+10+29</f>
        <v>80.7</v>
      </c>
      <c r="AD38" s="6">
        <f>0+7+0+0+0+0+5.6+4.7+3+4</f>
        <v>24.3</v>
      </c>
      <c r="AE38" s="6">
        <f>8+12+4+1+0+0.3+26.6+8+12+4</f>
        <v>75.900000000000006</v>
      </c>
      <c r="AF38" s="6">
        <f>84+2+42+27+15+14.9+63.8+1.3+0+17</f>
        <v>267</v>
      </c>
      <c r="AG38" s="6">
        <f>8+0+8+3+3+2.5+4.5+0+0+18</f>
        <v>47</v>
      </c>
      <c r="AH38" s="6">
        <f>80+380+4+1+1+0+950.1+253.3+140+14</f>
        <v>1823.3999999999999</v>
      </c>
      <c r="AI38" s="6">
        <f t="shared" si="1"/>
        <v>3.9053426248548198E-2</v>
      </c>
      <c r="AJ38" s="6">
        <f t="shared" si="2"/>
        <v>1.1759581881533102E-2</v>
      </c>
      <c r="AK38" s="6">
        <f t="shared" si="3"/>
        <v>3.6730545876887344E-2</v>
      </c>
      <c r="AL38" s="6">
        <f t="shared" si="4"/>
        <v>0.1292102206736353</v>
      </c>
      <c r="AM38" s="6">
        <f t="shared" si="5"/>
        <v>2.2744870305845915E-2</v>
      </c>
      <c r="AN38" s="6">
        <f t="shared" si="6"/>
        <v>0.8824041811846689</v>
      </c>
      <c r="AO38" s="7">
        <v>3</v>
      </c>
      <c r="AP38" s="7">
        <v>1</v>
      </c>
      <c r="AQ38" s="7">
        <v>1</v>
      </c>
      <c r="AR38" s="10">
        <v>0</v>
      </c>
      <c r="AS38" s="7">
        <v>0</v>
      </c>
      <c r="AT38" s="7">
        <v>0</v>
      </c>
      <c r="AU38" s="7">
        <v>0</v>
      </c>
      <c r="AV38" s="7">
        <v>0</v>
      </c>
      <c r="AW38" s="7">
        <v>31</v>
      </c>
      <c r="AX38" s="7">
        <v>1</v>
      </c>
      <c r="AY38" s="7">
        <v>8</v>
      </c>
      <c r="AZ38" s="7">
        <v>1</v>
      </c>
      <c r="BA38" s="7">
        <v>1</v>
      </c>
      <c r="BB38" s="7">
        <v>1</v>
      </c>
      <c r="BC38" s="7">
        <v>1</v>
      </c>
      <c r="BD38" s="7">
        <v>1</v>
      </c>
    </row>
    <row r="39" spans="1:56" ht="20.100000000000001" customHeight="1" x14ac:dyDescent="0.25">
      <c r="A39" s="3" t="s">
        <v>23</v>
      </c>
      <c r="B39" s="3">
        <v>2</v>
      </c>
      <c r="C39" s="8">
        <v>44248</v>
      </c>
      <c r="D39" s="9">
        <v>0.66666666666666663</v>
      </c>
      <c r="E39" s="4">
        <v>72</v>
      </c>
      <c r="F39" s="3">
        <v>0</v>
      </c>
      <c r="G39" s="3">
        <v>0</v>
      </c>
      <c r="H39" s="3">
        <v>0</v>
      </c>
      <c r="I39" s="3">
        <v>0</v>
      </c>
      <c r="J39" s="9">
        <v>0.26041666666666669</v>
      </c>
      <c r="K39" s="3">
        <v>137.4</v>
      </c>
      <c r="L39" s="11">
        <f t="shared" ref="L39" si="37">K39-K38</f>
        <v>-2.1999999999999886</v>
      </c>
      <c r="M39" s="5">
        <f t="shared" ref="M39" si="38">AB38</f>
        <v>2066.4</v>
      </c>
      <c r="N39" s="11">
        <v>31.25</v>
      </c>
      <c r="O39" s="11">
        <v>33.25</v>
      </c>
      <c r="P39" s="11">
        <v>10.875</v>
      </c>
      <c r="Q39" s="11">
        <v>11</v>
      </c>
      <c r="R39" s="11">
        <v>20</v>
      </c>
      <c r="S39" s="11">
        <v>20</v>
      </c>
      <c r="T39" s="11">
        <v>16</v>
      </c>
      <c r="U39" s="11">
        <v>15</v>
      </c>
      <c r="V39" s="11">
        <v>18</v>
      </c>
      <c r="W39" s="11">
        <v>16</v>
      </c>
      <c r="X39" s="11">
        <v>8</v>
      </c>
      <c r="Y39" s="11">
        <v>8</v>
      </c>
      <c r="Z39" s="3" t="s">
        <v>313</v>
      </c>
      <c r="AA39" s="10" t="s">
        <v>312</v>
      </c>
      <c r="AB39" s="5">
        <f>243+105+551.7+106.7+322+140+551.7+20+551.7+106.7</f>
        <v>2698.5</v>
      </c>
      <c r="AC39" s="6">
        <f>0+0+20.9+6.7+29+10+20.9+1.5+20.9+6.7</f>
        <v>116.60000000000001</v>
      </c>
      <c r="AD39" s="6">
        <f>0+0+5.6+4.7+4+3+5.6+1+5.6+4.7</f>
        <v>34.200000000000003</v>
      </c>
      <c r="AE39" s="6">
        <f>6+1+26.6+8+4+12+26.6+2+26.6+8</f>
        <v>120.80000000000001</v>
      </c>
      <c r="AF39" s="6">
        <f>63+27+63.75+1.3+17+0+63.75+0+63.75+1.3</f>
        <v>300.85000000000002</v>
      </c>
      <c r="AG39" s="6">
        <f>12+3+4.5+0+18+0+4.5+0+4.5+0</f>
        <v>46.5</v>
      </c>
      <c r="AH39" s="6">
        <f>6+1+950.1+253.3+14+140+950.125+100+950.1+253.3</f>
        <v>3617.9250000000002</v>
      </c>
      <c r="AI39" s="6">
        <f t="shared" si="1"/>
        <v>4.3209190290902359E-2</v>
      </c>
      <c r="AJ39" s="6">
        <f t="shared" si="2"/>
        <v>1.2673707615341858E-2</v>
      </c>
      <c r="AK39" s="6">
        <f t="shared" si="3"/>
        <v>4.4765610524365396E-2</v>
      </c>
      <c r="AL39" s="6">
        <f t="shared" si="4"/>
        <v>0.11148786362794146</v>
      </c>
      <c r="AM39" s="6">
        <f t="shared" si="5"/>
        <v>1.7231795441912175E-2</v>
      </c>
      <c r="AN39" s="6">
        <f t="shared" si="6"/>
        <v>1.3407170650361313</v>
      </c>
      <c r="AO39" s="7">
        <v>3</v>
      </c>
      <c r="AP39" s="7">
        <v>1</v>
      </c>
      <c r="AQ39" s="7">
        <v>1</v>
      </c>
      <c r="AR39" s="10">
        <v>0</v>
      </c>
      <c r="AS39" s="7">
        <v>0</v>
      </c>
      <c r="AT39" s="7">
        <v>0</v>
      </c>
      <c r="AU39" s="7">
        <v>0</v>
      </c>
      <c r="AV39" s="7">
        <v>0</v>
      </c>
      <c r="AW39" s="7">
        <v>31</v>
      </c>
      <c r="AX39" s="7">
        <v>1</v>
      </c>
      <c r="AY39" s="7">
        <v>8</v>
      </c>
      <c r="AZ39" s="7">
        <v>1</v>
      </c>
      <c r="BA39" s="7">
        <v>1</v>
      </c>
      <c r="BB39" s="7">
        <v>1</v>
      </c>
      <c r="BC39" s="7">
        <v>1</v>
      </c>
      <c r="BD39" s="7">
        <v>1</v>
      </c>
    </row>
    <row r="40" spans="1:56" ht="20.100000000000001" customHeight="1" x14ac:dyDescent="0.25">
      <c r="A40" s="3" t="s">
        <v>15</v>
      </c>
      <c r="B40" s="3">
        <v>3</v>
      </c>
      <c r="C40" s="8">
        <v>44249</v>
      </c>
      <c r="D40" s="9">
        <v>0.625</v>
      </c>
      <c r="E40" s="4">
        <v>79</v>
      </c>
      <c r="F40" s="3">
        <v>0</v>
      </c>
      <c r="G40" s="3">
        <v>0</v>
      </c>
      <c r="H40" s="3">
        <v>0</v>
      </c>
      <c r="I40" s="3">
        <v>0</v>
      </c>
      <c r="J40" s="9">
        <v>0.23958333333333334</v>
      </c>
      <c r="K40" s="3">
        <v>138.19999999999999</v>
      </c>
      <c r="L40" s="11">
        <f t="shared" ref="L40" si="39">K40-K39</f>
        <v>0.79999999999998295</v>
      </c>
      <c r="M40" s="5">
        <f t="shared" ref="M40" si="40">AB39</f>
        <v>2698.5</v>
      </c>
      <c r="N40" s="11">
        <v>31.25</v>
      </c>
      <c r="O40" s="11">
        <v>32.75</v>
      </c>
      <c r="P40" s="11">
        <v>10.25</v>
      </c>
      <c r="Q40" s="11">
        <v>10.8125</v>
      </c>
      <c r="R40" s="11">
        <v>20.25</v>
      </c>
      <c r="S40" s="11">
        <v>20.25</v>
      </c>
      <c r="T40" s="11">
        <v>15</v>
      </c>
      <c r="U40" s="11">
        <v>15</v>
      </c>
      <c r="V40" s="11">
        <v>18</v>
      </c>
      <c r="W40" s="11">
        <v>18</v>
      </c>
      <c r="X40" s="11">
        <v>7</v>
      </c>
      <c r="Y40" s="11">
        <v>7</v>
      </c>
      <c r="Z40" s="3" t="s">
        <v>319</v>
      </c>
      <c r="AA40" s="10" t="s">
        <v>318</v>
      </c>
      <c r="AB40" s="5">
        <f>200+160+105+162+679.4+20+339.7+10+161+92</f>
        <v>1929.1000000000001</v>
      </c>
      <c r="AC40" s="6">
        <f>2+10+0+0+38.4+1.5+19.2+0.75+14.5+0</f>
        <v>86.35</v>
      </c>
      <c r="AD40" s="6">
        <f>0+7+0+0+13.7+1+6.85+0.5+2+0</f>
        <v>31.049999999999997</v>
      </c>
      <c r="AE40" s="6">
        <f>4+12+1+4+26+2+13+1+2+2</f>
        <v>67</v>
      </c>
      <c r="AF40" s="6">
        <f>42+2+27+42+63.5+0+31.75+0+8.5+24</f>
        <v>240.75</v>
      </c>
      <c r="AG40" s="6">
        <f>4+0+3+8+5.2+0+2.6+0+6.5+2</f>
        <v>31.3</v>
      </c>
      <c r="AH40" s="6">
        <f>40+380+1+4+862+100+431+50+7+0</f>
        <v>1875</v>
      </c>
      <c r="AI40" s="6">
        <f t="shared" si="1"/>
        <v>4.4761806023534287E-2</v>
      </c>
      <c r="AJ40" s="6">
        <f t="shared" si="2"/>
        <v>1.6095588616453264E-2</v>
      </c>
      <c r="AK40" s="6">
        <f t="shared" si="3"/>
        <v>3.4731221813280803E-2</v>
      </c>
      <c r="AL40" s="6">
        <f t="shared" si="4"/>
        <v>0.12479912912757243</v>
      </c>
      <c r="AM40" s="6">
        <f t="shared" si="5"/>
        <v>1.6225182727696852E-2</v>
      </c>
      <c r="AN40" s="6">
        <f t="shared" si="6"/>
        <v>0.97195583432688815</v>
      </c>
      <c r="AO40" s="7">
        <v>3</v>
      </c>
      <c r="AP40" s="7">
        <v>1</v>
      </c>
      <c r="AQ40" s="7">
        <v>1</v>
      </c>
      <c r="AR40" s="10">
        <v>0</v>
      </c>
      <c r="AS40" s="7">
        <v>0</v>
      </c>
      <c r="AT40" s="7">
        <v>0</v>
      </c>
      <c r="AU40" s="7">
        <v>0</v>
      </c>
      <c r="AV40" s="7">
        <v>0</v>
      </c>
      <c r="AW40" s="7">
        <v>31</v>
      </c>
      <c r="AX40" s="7">
        <v>1</v>
      </c>
      <c r="AY40" s="7">
        <v>7</v>
      </c>
      <c r="AZ40" s="7">
        <v>1</v>
      </c>
      <c r="BA40" s="7">
        <v>1</v>
      </c>
      <c r="BB40" s="7">
        <v>1</v>
      </c>
      <c r="BC40" s="7">
        <v>1</v>
      </c>
      <c r="BD40" s="7">
        <v>1</v>
      </c>
    </row>
    <row r="41" spans="1:56" ht="20.100000000000001" customHeight="1" x14ac:dyDescent="0.25">
      <c r="A41" s="3" t="s">
        <v>16</v>
      </c>
      <c r="B41" s="3">
        <v>4</v>
      </c>
      <c r="C41" s="8">
        <v>44250</v>
      </c>
      <c r="D41" s="9">
        <v>0.625</v>
      </c>
      <c r="E41" s="4">
        <v>79</v>
      </c>
      <c r="F41" s="3">
        <v>0</v>
      </c>
      <c r="G41" s="3">
        <v>0</v>
      </c>
      <c r="H41" s="3">
        <v>0</v>
      </c>
      <c r="I41" s="3">
        <v>0</v>
      </c>
      <c r="J41" s="9">
        <v>0.3125</v>
      </c>
      <c r="K41" s="3">
        <v>137.19999999999999</v>
      </c>
      <c r="L41" s="11">
        <f t="shared" ref="L41" si="41">K41-K40</f>
        <v>-1</v>
      </c>
      <c r="M41" s="5">
        <f t="shared" ref="M41" si="42">AB40</f>
        <v>1929.1000000000001</v>
      </c>
      <c r="N41" s="11">
        <v>31</v>
      </c>
      <c r="O41" s="11">
        <v>32.5</v>
      </c>
      <c r="P41" s="11">
        <v>10.75</v>
      </c>
      <c r="Q41" s="11">
        <v>10.875</v>
      </c>
      <c r="R41" s="11">
        <v>19.75</v>
      </c>
      <c r="S41" s="11">
        <v>20</v>
      </c>
      <c r="T41" s="11">
        <v>16</v>
      </c>
      <c r="U41" s="11">
        <v>15</v>
      </c>
      <c r="V41" s="11">
        <v>18</v>
      </c>
      <c r="W41" s="11">
        <v>17</v>
      </c>
      <c r="X41" s="11">
        <v>7</v>
      </c>
      <c r="Y41" s="11">
        <v>7</v>
      </c>
      <c r="Z41" s="3" t="s">
        <v>320</v>
      </c>
      <c r="AA41" s="10" t="s">
        <v>321</v>
      </c>
      <c r="AB41" s="5">
        <f>92+226.47+241.5+339.7+20+81+339.7+20+679.4+20+20+60+60</f>
        <v>2199.77</v>
      </c>
      <c r="AC41" s="6">
        <f>0+12.8+21.75+19.2+1.5+0+19.2+1.5+38.4+1.5+1+0+4.5</f>
        <v>121.35</v>
      </c>
      <c r="AD41" s="6">
        <f>0+4.57+3+6.85+1+0+6.85+1+13.7+1+0+0+0</f>
        <v>37.97</v>
      </c>
      <c r="AE41" s="6">
        <f>2+8.67+3+13+2+2+13+2+26+2+2+0+1.5</f>
        <v>77.17</v>
      </c>
      <c r="AF41" s="6">
        <f>24+21.17+12.75+31.75+0+21+31.75+0+63.5+0+6+17+3</f>
        <v>231.92000000000002</v>
      </c>
      <c r="AG41" s="6">
        <f>2+1.73+13.5+2.6+0+4+2.6+0+5.2+0+2+0+1.5</f>
        <v>35.130000000000003</v>
      </c>
      <c r="AH41" s="6">
        <f>0+287.33+10.5+431+100+2+431+100+862+100+0+0+270</f>
        <v>2593.83</v>
      </c>
      <c r="AI41" s="6">
        <f t="shared" si="1"/>
        <v>5.5164858144260531E-2</v>
      </c>
      <c r="AJ41" s="6">
        <f t="shared" si="2"/>
        <v>1.7260895457252349E-2</v>
      </c>
      <c r="AK41" s="6">
        <f t="shared" si="3"/>
        <v>3.5080940280120196E-2</v>
      </c>
      <c r="AL41" s="6">
        <f t="shared" si="4"/>
        <v>0.10542920396223242</v>
      </c>
      <c r="AM41" s="6">
        <f t="shared" si="5"/>
        <v>1.5969851393554783E-2</v>
      </c>
      <c r="AN41" s="6">
        <f t="shared" si="6"/>
        <v>1.1791369097678392</v>
      </c>
      <c r="AO41" s="7">
        <v>3</v>
      </c>
      <c r="AP41" s="7">
        <v>1</v>
      </c>
      <c r="AQ41" s="7">
        <v>1</v>
      </c>
      <c r="AR41" s="10">
        <v>0</v>
      </c>
      <c r="AS41" s="7">
        <v>0</v>
      </c>
      <c r="AT41" s="7">
        <v>0</v>
      </c>
      <c r="AU41" s="7">
        <v>0</v>
      </c>
      <c r="AV41" s="7">
        <v>0</v>
      </c>
      <c r="AW41" s="7">
        <v>31</v>
      </c>
      <c r="AX41" s="7">
        <v>1</v>
      </c>
      <c r="AY41" s="7">
        <v>6</v>
      </c>
      <c r="AZ41" s="7">
        <v>1</v>
      </c>
      <c r="BA41" s="7">
        <v>1</v>
      </c>
      <c r="BB41" s="7">
        <v>1</v>
      </c>
      <c r="BC41" s="7">
        <v>1</v>
      </c>
      <c r="BD41" s="7">
        <v>1</v>
      </c>
    </row>
    <row r="42" spans="1:56" ht="20.100000000000001" customHeight="1" x14ac:dyDescent="0.25"/>
    <row r="43" spans="1:56" ht="20.100000000000001" customHeight="1" x14ac:dyDescent="0.25"/>
    <row r="44" spans="1:56" ht="20.100000000000001" customHeight="1" x14ac:dyDescent="0.25"/>
    <row r="45" spans="1:56" ht="20.100000000000001" customHeight="1" x14ac:dyDescent="0.25"/>
    <row r="46" spans="1:56" ht="20.100000000000001" customHeight="1" x14ac:dyDescent="0.25"/>
    <row r="47" spans="1:56" ht="20.100000000000001" customHeight="1" x14ac:dyDescent="0.25"/>
    <row r="48" spans="1:56" ht="20.100000000000001" customHeight="1" x14ac:dyDescent="0.25"/>
    <row r="49" ht="20.100000000000001" customHeight="1" x14ac:dyDescent="0.25"/>
    <row r="50" ht="20.100000000000001" customHeight="1" x14ac:dyDescent="0.25"/>
    <row r="51" ht="20.100000000000001" customHeight="1" x14ac:dyDescent="0.25"/>
    <row r="52" ht="20.100000000000001" customHeight="1" x14ac:dyDescent="0.25"/>
    <row r="53" ht="20.100000000000001" customHeight="1" x14ac:dyDescent="0.25"/>
    <row r="54" ht="20.100000000000001" customHeight="1" x14ac:dyDescent="0.25"/>
    <row r="55" ht="20.100000000000001" customHeight="1" x14ac:dyDescent="0.25"/>
    <row r="56" ht="20.100000000000001" customHeight="1" x14ac:dyDescent="0.25"/>
    <row r="57" ht="20.100000000000001" customHeight="1" x14ac:dyDescent="0.25"/>
    <row r="58" ht="20.100000000000001" customHeight="1" x14ac:dyDescent="0.25"/>
    <row r="59" ht="20.100000000000001" customHeight="1" x14ac:dyDescent="0.25"/>
    <row r="60" ht="20.100000000000001" customHeight="1" x14ac:dyDescent="0.25"/>
    <row r="61" ht="20.100000000000001" customHeight="1" x14ac:dyDescent="0.25"/>
    <row r="62" ht="20.100000000000001" customHeight="1" x14ac:dyDescent="0.25"/>
    <row r="63" ht="20.100000000000001" customHeight="1" x14ac:dyDescent="0.25"/>
    <row r="64" ht="20.100000000000001" customHeight="1" x14ac:dyDescent="0.25"/>
    <row r="65" ht="20.100000000000001" customHeight="1" x14ac:dyDescent="0.25"/>
    <row r="66" ht="20.100000000000001" customHeight="1" x14ac:dyDescent="0.25"/>
    <row r="67" ht="20.100000000000001" customHeight="1" x14ac:dyDescent="0.25"/>
    <row r="68" ht="20.100000000000001" customHeight="1" x14ac:dyDescent="0.25"/>
    <row r="69" ht="20.100000000000001" customHeight="1" x14ac:dyDescent="0.25"/>
    <row r="70" ht="20.100000000000001" customHeight="1" x14ac:dyDescent="0.25"/>
    <row r="71" ht="20.100000000000001" customHeight="1" x14ac:dyDescent="0.25"/>
    <row r="72" ht="20.100000000000001" customHeight="1" x14ac:dyDescent="0.25"/>
    <row r="73" ht="20.100000000000001" customHeight="1" x14ac:dyDescent="0.25"/>
    <row r="74" ht="20.100000000000001" customHeight="1" x14ac:dyDescent="0.25"/>
    <row r="75" ht="20.100000000000001" customHeight="1" x14ac:dyDescent="0.25"/>
    <row r="76" ht="20.100000000000001" customHeight="1" x14ac:dyDescent="0.25"/>
    <row r="77" ht="20.100000000000001" customHeight="1" x14ac:dyDescent="0.25"/>
    <row r="78" ht="20.100000000000001" customHeight="1" x14ac:dyDescent="0.25"/>
    <row r="79" ht="20.100000000000001" customHeight="1" x14ac:dyDescent="0.25"/>
    <row r="80" ht="20.100000000000001" customHeight="1" x14ac:dyDescent="0.25"/>
    <row r="81" ht="20.100000000000001" customHeight="1" x14ac:dyDescent="0.25"/>
    <row r="82" ht="20.100000000000001" customHeight="1" x14ac:dyDescent="0.25"/>
    <row r="83" ht="20.100000000000001" customHeight="1" x14ac:dyDescent="0.25"/>
    <row r="84" ht="20.100000000000001" customHeight="1" x14ac:dyDescent="0.25"/>
    <row r="85" ht="20.100000000000001" customHeight="1" x14ac:dyDescent="0.25"/>
    <row r="86" ht="20.100000000000001" customHeight="1" x14ac:dyDescent="0.25"/>
    <row r="87" ht="20.100000000000001" customHeight="1" x14ac:dyDescent="0.25"/>
    <row r="88" ht="20.100000000000001" customHeight="1" x14ac:dyDescent="0.25"/>
    <row r="89" ht="20.100000000000001" customHeight="1" x14ac:dyDescent="0.25"/>
    <row r="90" ht="20.100000000000001" customHeight="1" x14ac:dyDescent="0.25"/>
    <row r="91" ht="20.100000000000001" customHeight="1" x14ac:dyDescent="0.25"/>
    <row r="92" ht="20.100000000000001" customHeight="1" x14ac:dyDescent="0.25"/>
    <row r="93" ht="20.100000000000001" customHeight="1" x14ac:dyDescent="0.25"/>
    <row r="94" ht="20.100000000000001" customHeight="1" x14ac:dyDescent="0.25"/>
    <row r="95" ht="20.100000000000001" customHeight="1" x14ac:dyDescent="0.25"/>
    <row r="96" ht="20.100000000000001" customHeight="1" x14ac:dyDescent="0.25"/>
    <row r="97" ht="20.100000000000001" customHeight="1" x14ac:dyDescent="0.25"/>
    <row r="98" ht="20.100000000000001" customHeight="1" x14ac:dyDescent="0.25"/>
    <row r="99" ht="20.100000000000001" customHeight="1" x14ac:dyDescent="0.25"/>
    <row r="100" ht="20.100000000000001" customHeight="1" x14ac:dyDescent="0.25"/>
    <row r="101" ht="20.100000000000001" customHeight="1" x14ac:dyDescent="0.25"/>
    <row r="102" ht="20.100000000000001" customHeight="1" x14ac:dyDescent="0.25"/>
    <row r="103" ht="20.100000000000001" customHeight="1" x14ac:dyDescent="0.25"/>
    <row r="104" ht="20.100000000000001" customHeight="1" x14ac:dyDescent="0.25"/>
    <row r="105" ht="20.100000000000001" customHeight="1" x14ac:dyDescent="0.25"/>
    <row r="106" ht="20.100000000000001" customHeight="1" x14ac:dyDescent="0.25"/>
    <row r="107" ht="20.100000000000001" customHeight="1" x14ac:dyDescent="0.25"/>
    <row r="108" ht="20.100000000000001" customHeight="1" x14ac:dyDescent="0.25"/>
    <row r="109" ht="20.100000000000001" customHeight="1" x14ac:dyDescent="0.25"/>
    <row r="110" ht="20.100000000000001" customHeight="1" x14ac:dyDescent="0.25"/>
    <row r="111" ht="20.100000000000001" customHeight="1" x14ac:dyDescent="0.25"/>
    <row r="112" ht="20.100000000000001" customHeight="1" x14ac:dyDescent="0.25"/>
    <row r="113" ht="20.100000000000001" customHeight="1" x14ac:dyDescent="0.25"/>
    <row r="114" ht="20.100000000000001" customHeight="1" x14ac:dyDescent="0.25"/>
    <row r="115" ht="20.100000000000001" customHeight="1" x14ac:dyDescent="0.25"/>
    <row r="116" ht="20.100000000000001" customHeight="1" x14ac:dyDescent="0.25"/>
    <row r="117" ht="20.100000000000001" customHeight="1" x14ac:dyDescent="0.25"/>
    <row r="118" ht="20.100000000000001" customHeight="1" x14ac:dyDescent="0.25"/>
    <row r="119" ht="20.100000000000001" customHeight="1" x14ac:dyDescent="0.25"/>
    <row r="120" ht="20.100000000000001" customHeight="1" x14ac:dyDescent="0.25"/>
    <row r="121" ht="20.100000000000001" customHeight="1" x14ac:dyDescent="0.25"/>
    <row r="122" ht="20.100000000000001" customHeight="1" x14ac:dyDescent="0.25"/>
    <row r="123" ht="20.100000000000001" customHeight="1" x14ac:dyDescent="0.25"/>
    <row r="124" ht="20.100000000000001" customHeight="1" x14ac:dyDescent="0.25"/>
    <row r="125" ht="20.100000000000001" customHeight="1" x14ac:dyDescent="0.25"/>
    <row r="126" ht="20.100000000000001" customHeight="1" x14ac:dyDescent="0.25"/>
    <row r="127" ht="20.100000000000001" customHeight="1" x14ac:dyDescent="0.25"/>
    <row r="128" ht="20.100000000000001" customHeight="1" x14ac:dyDescent="0.25"/>
    <row r="129" ht="20.100000000000001" customHeight="1" x14ac:dyDescent="0.25"/>
    <row r="130" ht="20.100000000000001" customHeight="1" x14ac:dyDescent="0.25"/>
    <row r="131" ht="20.100000000000001" customHeight="1" x14ac:dyDescent="0.25"/>
    <row r="132" ht="20.100000000000001" customHeight="1" x14ac:dyDescent="0.25"/>
    <row r="133" ht="20.100000000000001" customHeight="1" x14ac:dyDescent="0.25"/>
    <row r="134" ht="20.100000000000001" customHeight="1" x14ac:dyDescent="0.25"/>
    <row r="135" ht="20.100000000000001" customHeight="1" x14ac:dyDescent="0.25"/>
    <row r="136" ht="20.100000000000001" customHeight="1" x14ac:dyDescent="0.25"/>
    <row r="137" ht="20.100000000000001" customHeight="1" x14ac:dyDescent="0.25"/>
    <row r="138" ht="20.100000000000001" customHeight="1" x14ac:dyDescent="0.25"/>
    <row r="139" ht="20.100000000000001" customHeight="1" x14ac:dyDescent="0.25"/>
    <row r="140" ht="20.100000000000001" customHeight="1" x14ac:dyDescent="0.25"/>
    <row r="141" ht="20.100000000000001" customHeight="1" x14ac:dyDescent="0.25"/>
    <row r="142" ht="20.100000000000001" customHeight="1" x14ac:dyDescent="0.25"/>
    <row r="143" ht="20.100000000000001" customHeight="1" x14ac:dyDescent="0.25"/>
    <row r="144" ht="20.100000000000001" customHeight="1" x14ac:dyDescent="0.25"/>
    <row r="145" ht="20.100000000000001" customHeight="1" x14ac:dyDescent="0.25"/>
    <row r="146" ht="20.100000000000001" customHeight="1" x14ac:dyDescent="0.25"/>
    <row r="147" ht="20.100000000000001" customHeight="1" x14ac:dyDescent="0.25"/>
    <row r="148" ht="20.100000000000001" customHeight="1" x14ac:dyDescent="0.25"/>
    <row r="149" ht="20.100000000000001" customHeight="1" x14ac:dyDescent="0.25"/>
    <row r="150" ht="20.100000000000001" customHeight="1" x14ac:dyDescent="0.25"/>
    <row r="151" ht="20.100000000000001" customHeight="1" x14ac:dyDescent="0.25"/>
    <row r="152" ht="20.100000000000001" customHeight="1" x14ac:dyDescent="0.25"/>
    <row r="153" ht="20.100000000000001" customHeight="1" x14ac:dyDescent="0.25"/>
    <row r="154" ht="20.100000000000001" customHeight="1" x14ac:dyDescent="0.25"/>
    <row r="155" ht="20.100000000000001" customHeight="1" x14ac:dyDescent="0.25"/>
    <row r="156" ht="20.100000000000001" customHeight="1" x14ac:dyDescent="0.25"/>
    <row r="157" ht="20.100000000000001" customHeight="1" x14ac:dyDescent="0.25"/>
    <row r="158" ht="20.100000000000001" customHeight="1" x14ac:dyDescent="0.25"/>
    <row r="159" ht="20.100000000000001" customHeight="1" x14ac:dyDescent="0.25"/>
    <row r="160" ht="20.100000000000001" customHeight="1" x14ac:dyDescent="0.25"/>
    <row r="161" ht="20.100000000000001" customHeight="1" x14ac:dyDescent="0.25"/>
    <row r="162" ht="20.100000000000001" customHeight="1" x14ac:dyDescent="0.25"/>
    <row r="163" ht="20.100000000000001" customHeight="1" x14ac:dyDescent="0.25"/>
    <row r="164" ht="20.100000000000001" customHeight="1" x14ac:dyDescent="0.25"/>
    <row r="165" ht="20.100000000000001" customHeight="1" x14ac:dyDescent="0.25"/>
    <row r="166" ht="20.100000000000001" customHeight="1" x14ac:dyDescent="0.25"/>
    <row r="167" ht="20.100000000000001" customHeight="1" x14ac:dyDescent="0.25"/>
    <row r="168" ht="20.100000000000001" customHeight="1" x14ac:dyDescent="0.25"/>
    <row r="169" ht="20.100000000000001" customHeight="1" x14ac:dyDescent="0.25"/>
    <row r="170" ht="20.100000000000001" customHeight="1" x14ac:dyDescent="0.25"/>
    <row r="171" ht="20.100000000000001" customHeight="1" x14ac:dyDescent="0.25"/>
    <row r="172" ht="20.100000000000001" customHeight="1" x14ac:dyDescent="0.25"/>
    <row r="173" ht="20.100000000000001" customHeight="1" x14ac:dyDescent="0.25"/>
    <row r="174" ht="20.100000000000001" customHeight="1" x14ac:dyDescent="0.25"/>
    <row r="175" ht="20.100000000000001" customHeight="1" x14ac:dyDescent="0.25"/>
    <row r="176" ht="20.100000000000001" customHeight="1" x14ac:dyDescent="0.25"/>
    <row r="177" ht="20.100000000000001" customHeight="1" x14ac:dyDescent="0.25"/>
    <row r="178" ht="20.100000000000001" customHeight="1" x14ac:dyDescent="0.25"/>
    <row r="179" ht="20.100000000000001" customHeight="1" x14ac:dyDescent="0.25"/>
    <row r="180" ht="20.100000000000001" customHeight="1" x14ac:dyDescent="0.25"/>
    <row r="181" ht="20.100000000000001" customHeight="1" x14ac:dyDescent="0.25"/>
  </sheetData>
  <phoneticPr fontId="1" type="noConversion"/>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08201-0651-4E9B-9EC9-991C0BB98E8A}">
  <dimension ref="A1:B1032248"/>
  <sheetViews>
    <sheetView topLeftCell="A30" workbookViewId="0">
      <selection activeCell="B44" sqref="B44"/>
    </sheetView>
  </sheetViews>
  <sheetFormatPr defaultRowHeight="15" x14ac:dyDescent="0.25"/>
  <cols>
    <col min="1" max="1" width="29.28515625" style="13" customWidth="1"/>
    <col min="2" max="2" width="77.42578125" customWidth="1"/>
  </cols>
  <sheetData>
    <row r="1" spans="1:2" x14ac:dyDescent="0.25">
      <c r="A1" s="13" t="s">
        <v>0</v>
      </c>
      <c r="B1" t="s">
        <v>244</v>
      </c>
    </row>
    <row r="2" spans="1:2" x14ac:dyDescent="0.25">
      <c r="A2" s="13" t="s">
        <v>125</v>
      </c>
      <c r="B2" t="s">
        <v>302</v>
      </c>
    </row>
    <row r="3" spans="1:2" x14ac:dyDescent="0.25">
      <c r="A3" s="13" t="s">
        <v>1</v>
      </c>
      <c r="B3" t="s">
        <v>245</v>
      </c>
    </row>
    <row r="4" spans="1:2" x14ac:dyDescent="0.25">
      <c r="A4" s="13" t="s">
        <v>2</v>
      </c>
      <c r="B4" t="s">
        <v>246</v>
      </c>
    </row>
    <row r="5" spans="1:2" x14ac:dyDescent="0.25">
      <c r="A5" s="14" t="s">
        <v>25</v>
      </c>
      <c r="B5" t="s">
        <v>247</v>
      </c>
    </row>
    <row r="6" spans="1:2" x14ac:dyDescent="0.25">
      <c r="A6" s="13" t="s">
        <v>126</v>
      </c>
      <c r="B6" t="s">
        <v>248</v>
      </c>
    </row>
    <row r="7" spans="1:2" x14ac:dyDescent="0.25">
      <c r="A7" s="13" t="s">
        <v>127</v>
      </c>
      <c r="B7" t="s">
        <v>249</v>
      </c>
    </row>
    <row r="8" spans="1:2" x14ac:dyDescent="0.25">
      <c r="A8" s="13" t="s">
        <v>88</v>
      </c>
      <c r="B8" t="s">
        <v>243</v>
      </c>
    </row>
    <row r="9" spans="1:2" x14ac:dyDescent="0.25">
      <c r="A9" s="13" t="s">
        <v>251</v>
      </c>
      <c r="B9" t="s">
        <v>252</v>
      </c>
    </row>
    <row r="10" spans="1:2" x14ac:dyDescent="0.25">
      <c r="A10" s="13" t="s">
        <v>22</v>
      </c>
      <c r="B10" t="s">
        <v>242</v>
      </c>
    </row>
    <row r="11" spans="1:2" x14ac:dyDescent="0.25">
      <c r="A11" s="13" t="s">
        <v>3</v>
      </c>
      <c r="B11" t="s">
        <v>241</v>
      </c>
    </row>
    <row r="12" spans="1:2" x14ac:dyDescent="0.25">
      <c r="A12" s="15" t="s">
        <v>95</v>
      </c>
      <c r="B12" t="s">
        <v>240</v>
      </c>
    </row>
    <row r="13" spans="1:2" x14ac:dyDescent="0.25">
      <c r="A13" s="15" t="s">
        <v>94</v>
      </c>
      <c r="B13" t="s">
        <v>239</v>
      </c>
    </row>
    <row r="14" spans="1:2" x14ac:dyDescent="0.25">
      <c r="A14" s="15" t="s">
        <v>4</v>
      </c>
      <c r="B14" t="s">
        <v>238</v>
      </c>
    </row>
    <row r="15" spans="1:2" x14ac:dyDescent="0.25">
      <c r="A15" s="15" t="s">
        <v>118</v>
      </c>
      <c r="B15" t="s">
        <v>237</v>
      </c>
    </row>
    <row r="16" spans="1:2" x14ac:dyDescent="0.25">
      <c r="A16" s="15" t="s">
        <v>5</v>
      </c>
      <c r="B16" t="s">
        <v>236</v>
      </c>
    </row>
    <row r="17" spans="1:2" x14ac:dyDescent="0.25">
      <c r="A17" s="15" t="s">
        <v>6</v>
      </c>
      <c r="B17" t="s">
        <v>235</v>
      </c>
    </row>
    <row r="18" spans="1:2" x14ac:dyDescent="0.25">
      <c r="A18" s="15" t="s">
        <v>7</v>
      </c>
      <c r="B18" t="s">
        <v>234</v>
      </c>
    </row>
    <row r="19" spans="1:2" x14ac:dyDescent="0.25">
      <c r="A19" s="15" t="s">
        <v>8</v>
      </c>
      <c r="B19" t="s">
        <v>233</v>
      </c>
    </row>
    <row r="20" spans="1:2" x14ac:dyDescent="0.25">
      <c r="A20" s="15" t="s">
        <v>9</v>
      </c>
      <c r="B20" t="s">
        <v>229</v>
      </c>
    </row>
    <row r="21" spans="1:2" x14ac:dyDescent="0.25">
      <c r="A21" s="15" t="s">
        <v>10</v>
      </c>
      <c r="B21" t="s">
        <v>230</v>
      </c>
    </row>
    <row r="22" spans="1:2" x14ac:dyDescent="0.25">
      <c r="A22" s="15" t="s">
        <v>11</v>
      </c>
      <c r="B22" t="s">
        <v>227</v>
      </c>
    </row>
    <row r="23" spans="1:2" x14ac:dyDescent="0.25">
      <c r="A23" s="15" t="s">
        <v>12</v>
      </c>
      <c r="B23" t="s">
        <v>228</v>
      </c>
    </row>
    <row r="24" spans="1:2" x14ac:dyDescent="0.25">
      <c r="A24" s="15" t="s">
        <v>13</v>
      </c>
      <c r="B24" t="s">
        <v>231</v>
      </c>
    </row>
    <row r="25" spans="1:2" x14ac:dyDescent="0.25">
      <c r="A25" s="15" t="s">
        <v>14</v>
      </c>
      <c r="B25" t="s">
        <v>232</v>
      </c>
    </row>
    <row r="26" spans="1:2" x14ac:dyDescent="0.25">
      <c r="A26" s="13" t="s">
        <v>31</v>
      </c>
      <c r="B26" t="s">
        <v>226</v>
      </c>
    </row>
    <row r="27" spans="1:2" x14ac:dyDescent="0.25">
      <c r="A27" s="13" t="s">
        <v>87</v>
      </c>
      <c r="B27" t="s">
        <v>225</v>
      </c>
    </row>
    <row r="28" spans="1:2" x14ac:dyDescent="0.25">
      <c r="A28" s="15" t="s">
        <v>30</v>
      </c>
      <c r="B28" t="s">
        <v>223</v>
      </c>
    </row>
    <row r="29" spans="1:2" x14ac:dyDescent="0.25">
      <c r="A29" s="15" t="s">
        <v>26</v>
      </c>
      <c r="B29" t="s">
        <v>222</v>
      </c>
    </row>
    <row r="30" spans="1:2" x14ac:dyDescent="0.25">
      <c r="A30" s="15" t="s">
        <v>27</v>
      </c>
      <c r="B30" t="s">
        <v>221</v>
      </c>
    </row>
    <row r="31" spans="1:2" x14ac:dyDescent="0.25">
      <c r="A31" s="15" t="s">
        <v>28</v>
      </c>
      <c r="B31" t="s">
        <v>220</v>
      </c>
    </row>
    <row r="32" spans="1:2" x14ac:dyDescent="0.25">
      <c r="A32" s="15" t="s">
        <v>89</v>
      </c>
      <c r="B32" t="s">
        <v>224</v>
      </c>
    </row>
    <row r="33" spans="1:2" x14ac:dyDescent="0.25">
      <c r="A33" s="15" t="s">
        <v>90</v>
      </c>
      <c r="B33" t="s">
        <v>219</v>
      </c>
    </row>
    <row r="34" spans="1:2" x14ac:dyDescent="0.25">
      <c r="A34" s="15" t="s">
        <v>185</v>
      </c>
      <c r="B34" t="s">
        <v>218</v>
      </c>
    </row>
    <row r="35" spans="1:2" x14ac:dyDescent="0.25">
      <c r="A35" s="15" t="s">
        <v>186</v>
      </c>
      <c r="B35" t="s">
        <v>216</v>
      </c>
    </row>
    <row r="36" spans="1:2" x14ac:dyDescent="0.25">
      <c r="A36" s="15" t="s">
        <v>187</v>
      </c>
      <c r="B36" t="s">
        <v>215</v>
      </c>
    </row>
    <row r="37" spans="1:2" x14ac:dyDescent="0.25">
      <c r="A37" s="15" t="s">
        <v>188</v>
      </c>
      <c r="B37" t="s">
        <v>214</v>
      </c>
    </row>
    <row r="38" spans="1:2" x14ac:dyDescent="0.25">
      <c r="A38" s="15" t="s">
        <v>189</v>
      </c>
      <c r="B38" t="s">
        <v>217</v>
      </c>
    </row>
    <row r="39" spans="1:2" x14ac:dyDescent="0.25">
      <c r="A39" s="15" t="s">
        <v>190</v>
      </c>
      <c r="B39" t="s">
        <v>213</v>
      </c>
    </row>
    <row r="40" spans="1:2" x14ac:dyDescent="0.25">
      <c r="A40" s="15" t="s">
        <v>273</v>
      </c>
      <c r="B40" t="s">
        <v>212</v>
      </c>
    </row>
    <row r="41" spans="1:2" x14ac:dyDescent="0.25">
      <c r="A41" s="14" t="s">
        <v>47</v>
      </c>
      <c r="B41" t="s">
        <v>211</v>
      </c>
    </row>
    <row r="42" spans="1:2" x14ac:dyDescent="0.25">
      <c r="A42" s="14" t="s">
        <v>119</v>
      </c>
      <c r="B42" t="s">
        <v>210</v>
      </c>
    </row>
    <row r="43" spans="1:2" x14ac:dyDescent="0.25">
      <c r="A43" s="14" t="s">
        <v>86</v>
      </c>
      <c r="B43" t="s">
        <v>303</v>
      </c>
    </row>
    <row r="44" spans="1:2" x14ac:dyDescent="0.25">
      <c r="A44" s="13" t="s">
        <v>21</v>
      </c>
      <c r="B44" t="s">
        <v>209</v>
      </c>
    </row>
    <row r="45" spans="1:2" x14ac:dyDescent="0.25">
      <c r="A45" s="14" t="s">
        <v>92</v>
      </c>
      <c r="B45" t="s">
        <v>208</v>
      </c>
    </row>
    <row r="46" spans="1:2" x14ac:dyDescent="0.25">
      <c r="A46" s="14" t="s">
        <v>93</v>
      </c>
      <c r="B46" t="s">
        <v>207</v>
      </c>
    </row>
    <row r="47" spans="1:2" x14ac:dyDescent="0.25">
      <c r="A47" s="14" t="s">
        <v>99</v>
      </c>
      <c r="B47" t="s">
        <v>206</v>
      </c>
    </row>
    <row r="48" spans="1:2" x14ac:dyDescent="0.25">
      <c r="A48" s="14" t="s">
        <v>100</v>
      </c>
      <c r="B48" t="s">
        <v>205</v>
      </c>
    </row>
    <row r="49" spans="1:2" x14ac:dyDescent="0.25">
      <c r="A49" s="13" t="s">
        <v>24</v>
      </c>
      <c r="B49" t="s">
        <v>204</v>
      </c>
    </row>
    <row r="50" spans="1:2" x14ac:dyDescent="0.25">
      <c r="A50" s="13" t="s">
        <v>83</v>
      </c>
      <c r="B50" t="s">
        <v>203</v>
      </c>
    </row>
    <row r="51" spans="1:2" x14ac:dyDescent="0.25">
      <c r="A51" s="13" t="s">
        <v>106</v>
      </c>
      <c r="B51" t="s">
        <v>202</v>
      </c>
    </row>
    <row r="52" spans="1:2" x14ac:dyDescent="0.25">
      <c r="A52" s="13" t="s">
        <v>101</v>
      </c>
      <c r="B52" t="s">
        <v>201</v>
      </c>
    </row>
    <row r="53" spans="1:2" x14ac:dyDescent="0.25">
      <c r="A53" s="13" t="s">
        <v>102</v>
      </c>
      <c r="B53" t="s">
        <v>197</v>
      </c>
    </row>
    <row r="54" spans="1:2" x14ac:dyDescent="0.25">
      <c r="A54" s="13" t="s">
        <v>103</v>
      </c>
      <c r="B54" t="s">
        <v>198</v>
      </c>
    </row>
    <row r="55" spans="1:2" x14ac:dyDescent="0.25">
      <c r="A55" s="13" t="s">
        <v>104</v>
      </c>
      <c r="B55" t="s">
        <v>199</v>
      </c>
    </row>
    <row r="56" spans="1:2" x14ac:dyDescent="0.25">
      <c r="A56" s="13" t="s">
        <v>105</v>
      </c>
      <c r="B56" t="s">
        <v>200</v>
      </c>
    </row>
    <row r="16386" spans="1:1" x14ac:dyDescent="0.25">
      <c r="A16386" s="13" t="s">
        <v>0</v>
      </c>
    </row>
    <row r="16387" spans="1:1" x14ac:dyDescent="0.25">
      <c r="A16387" s="13" t="s">
        <v>125</v>
      </c>
    </row>
    <row r="16388" spans="1:1" x14ac:dyDescent="0.25">
      <c r="A16388" s="13" t="s">
        <v>1</v>
      </c>
    </row>
    <row r="16389" spans="1:1" x14ac:dyDescent="0.25">
      <c r="A16389" s="13" t="s">
        <v>2</v>
      </c>
    </row>
    <row r="16390" spans="1:1" x14ac:dyDescent="0.25">
      <c r="A16390" s="14" t="s">
        <v>25</v>
      </c>
    </row>
    <row r="16391" spans="1:1" x14ac:dyDescent="0.25">
      <c r="A16391" s="13" t="s">
        <v>126</v>
      </c>
    </row>
    <row r="16392" spans="1:1" x14ac:dyDescent="0.25">
      <c r="A16392" s="13" t="s">
        <v>127</v>
      </c>
    </row>
    <row r="16393" spans="1:1" x14ac:dyDescent="0.25">
      <c r="A16393" s="13" t="s">
        <v>88</v>
      </c>
    </row>
    <row r="16394" spans="1:1" x14ac:dyDescent="0.25">
      <c r="A16394" s="13" t="s">
        <v>22</v>
      </c>
    </row>
    <row r="16395" spans="1:1" x14ac:dyDescent="0.25">
      <c r="A16395" s="13" t="s">
        <v>3</v>
      </c>
    </row>
    <row r="16396" spans="1:1" x14ac:dyDescent="0.25">
      <c r="A16396" s="15" t="s">
        <v>95</v>
      </c>
    </row>
    <row r="16397" spans="1:1" x14ac:dyDescent="0.25">
      <c r="A16397" s="15" t="s">
        <v>94</v>
      </c>
    </row>
    <row r="16398" spans="1:1" x14ac:dyDescent="0.25">
      <c r="A16398" s="15" t="s">
        <v>4</v>
      </c>
    </row>
    <row r="16399" spans="1:1" x14ac:dyDescent="0.25">
      <c r="A16399" s="15" t="s">
        <v>118</v>
      </c>
    </row>
    <row r="16400" spans="1:1" x14ac:dyDescent="0.25">
      <c r="A16400" s="15" t="s">
        <v>5</v>
      </c>
    </row>
    <row r="16401" spans="1:1" x14ac:dyDescent="0.25">
      <c r="A16401" s="15" t="s">
        <v>6</v>
      </c>
    </row>
    <row r="16402" spans="1:1" x14ac:dyDescent="0.25">
      <c r="A16402" s="15" t="s">
        <v>7</v>
      </c>
    </row>
    <row r="16403" spans="1:1" x14ac:dyDescent="0.25">
      <c r="A16403" s="15" t="s">
        <v>8</v>
      </c>
    </row>
    <row r="16404" spans="1:1" x14ac:dyDescent="0.25">
      <c r="A16404" s="15" t="s">
        <v>9</v>
      </c>
    </row>
    <row r="16405" spans="1:1" x14ac:dyDescent="0.25">
      <c r="A16405" s="15" t="s">
        <v>10</v>
      </c>
    </row>
    <row r="16406" spans="1:1" x14ac:dyDescent="0.25">
      <c r="A16406" s="15" t="s">
        <v>11</v>
      </c>
    </row>
    <row r="16407" spans="1:1" x14ac:dyDescent="0.25">
      <c r="A16407" s="15" t="s">
        <v>12</v>
      </c>
    </row>
    <row r="16408" spans="1:1" x14ac:dyDescent="0.25">
      <c r="A16408" s="15" t="s">
        <v>13</v>
      </c>
    </row>
    <row r="16409" spans="1:1" x14ac:dyDescent="0.25">
      <c r="A16409" s="15" t="s">
        <v>14</v>
      </c>
    </row>
    <row r="16410" spans="1:1" x14ac:dyDescent="0.25">
      <c r="A16410" s="13" t="s">
        <v>31</v>
      </c>
    </row>
    <row r="16411" spans="1:1" x14ac:dyDescent="0.25">
      <c r="A16411" s="13" t="s">
        <v>87</v>
      </c>
    </row>
    <row r="16412" spans="1:1" x14ac:dyDescent="0.25">
      <c r="A16412" s="15" t="s">
        <v>30</v>
      </c>
    </row>
    <row r="16413" spans="1:1" x14ac:dyDescent="0.25">
      <c r="A16413" s="15" t="s">
        <v>26</v>
      </c>
    </row>
    <row r="16414" spans="1:1" x14ac:dyDescent="0.25">
      <c r="A16414" s="15" t="s">
        <v>27</v>
      </c>
    </row>
    <row r="16415" spans="1:1" x14ac:dyDescent="0.25">
      <c r="A16415" s="15" t="s">
        <v>28</v>
      </c>
    </row>
    <row r="16416" spans="1:1" x14ac:dyDescent="0.25">
      <c r="A16416" s="15" t="s">
        <v>89</v>
      </c>
    </row>
    <row r="16417" spans="1:1" x14ac:dyDescent="0.25">
      <c r="A16417" s="15" t="s">
        <v>90</v>
      </c>
    </row>
    <row r="16418" spans="1:1" x14ac:dyDescent="0.25">
      <c r="A16418" s="15" t="s">
        <v>185</v>
      </c>
    </row>
    <row r="16419" spans="1:1" x14ac:dyDescent="0.25">
      <c r="A16419" s="15" t="s">
        <v>186</v>
      </c>
    </row>
    <row r="16420" spans="1:1" x14ac:dyDescent="0.25">
      <c r="A16420" s="15" t="s">
        <v>187</v>
      </c>
    </row>
    <row r="16421" spans="1:1" x14ac:dyDescent="0.25">
      <c r="A16421" s="15" t="s">
        <v>188</v>
      </c>
    </row>
    <row r="16422" spans="1:1" x14ac:dyDescent="0.25">
      <c r="A16422" s="15" t="s">
        <v>189</v>
      </c>
    </row>
    <row r="16423" spans="1:1" x14ac:dyDescent="0.25">
      <c r="A16423" s="15" t="s">
        <v>190</v>
      </c>
    </row>
    <row r="16424" spans="1:1" x14ac:dyDescent="0.25">
      <c r="A16424" s="15" t="s">
        <v>191</v>
      </c>
    </row>
    <row r="16425" spans="1:1" x14ac:dyDescent="0.25">
      <c r="A16425" s="14" t="s">
        <v>47</v>
      </c>
    </row>
    <row r="16426" spans="1:1" x14ac:dyDescent="0.25">
      <c r="A16426" s="14" t="s">
        <v>119</v>
      </c>
    </row>
    <row r="16427" spans="1:1" x14ac:dyDescent="0.25">
      <c r="A16427" s="14" t="s">
        <v>86</v>
      </c>
    </row>
    <row r="16428" spans="1:1" x14ac:dyDescent="0.25">
      <c r="A16428" s="13" t="s">
        <v>21</v>
      </c>
    </row>
    <row r="16429" spans="1:1" x14ac:dyDescent="0.25">
      <c r="A16429" s="14" t="s">
        <v>92</v>
      </c>
    </row>
    <row r="16430" spans="1:1" x14ac:dyDescent="0.25">
      <c r="A16430" s="14" t="s">
        <v>93</v>
      </c>
    </row>
    <row r="16431" spans="1:1" x14ac:dyDescent="0.25">
      <c r="A16431" s="14" t="s">
        <v>99</v>
      </c>
    </row>
    <row r="16432" spans="1:1" x14ac:dyDescent="0.25">
      <c r="A16432" s="14" t="s">
        <v>100</v>
      </c>
    </row>
    <row r="16433" spans="1:1" x14ac:dyDescent="0.25">
      <c r="A16433" s="13" t="s">
        <v>24</v>
      </c>
    </row>
    <row r="16434" spans="1:1" x14ac:dyDescent="0.25">
      <c r="A16434" s="13" t="s">
        <v>83</v>
      </c>
    </row>
    <row r="16435" spans="1:1" x14ac:dyDescent="0.25">
      <c r="A16435" s="13" t="s">
        <v>106</v>
      </c>
    </row>
    <row r="16436" spans="1:1" x14ac:dyDescent="0.25">
      <c r="A16436" s="13" t="s">
        <v>101</v>
      </c>
    </row>
    <row r="16437" spans="1:1" x14ac:dyDescent="0.25">
      <c r="A16437" s="13" t="s">
        <v>102</v>
      </c>
    </row>
    <row r="16438" spans="1:1" x14ac:dyDescent="0.25">
      <c r="A16438" s="13" t="s">
        <v>103</v>
      </c>
    </row>
    <row r="16439" spans="1:1" x14ac:dyDescent="0.25">
      <c r="A16439" s="13" t="s">
        <v>104</v>
      </c>
    </row>
    <row r="16440" spans="1:1" x14ac:dyDescent="0.25">
      <c r="A16440" s="13" t="s">
        <v>105</v>
      </c>
    </row>
    <row r="32770" spans="1:1" x14ac:dyDescent="0.25">
      <c r="A32770" s="13" t="s">
        <v>0</v>
      </c>
    </row>
    <row r="32771" spans="1:1" x14ac:dyDescent="0.25">
      <c r="A32771" s="13" t="s">
        <v>125</v>
      </c>
    </row>
    <row r="32772" spans="1:1" x14ac:dyDescent="0.25">
      <c r="A32772" s="13" t="s">
        <v>1</v>
      </c>
    </row>
    <row r="32773" spans="1:1" x14ac:dyDescent="0.25">
      <c r="A32773" s="13" t="s">
        <v>2</v>
      </c>
    </row>
    <row r="32774" spans="1:1" x14ac:dyDescent="0.25">
      <c r="A32774" s="14" t="s">
        <v>25</v>
      </c>
    </row>
    <row r="32775" spans="1:1" x14ac:dyDescent="0.25">
      <c r="A32775" s="13" t="s">
        <v>126</v>
      </c>
    </row>
    <row r="32776" spans="1:1" x14ac:dyDescent="0.25">
      <c r="A32776" s="13" t="s">
        <v>127</v>
      </c>
    </row>
    <row r="32777" spans="1:1" x14ac:dyDescent="0.25">
      <c r="A32777" s="13" t="s">
        <v>88</v>
      </c>
    </row>
    <row r="32778" spans="1:1" x14ac:dyDescent="0.25">
      <c r="A32778" s="13" t="s">
        <v>22</v>
      </c>
    </row>
    <row r="32779" spans="1:1" x14ac:dyDescent="0.25">
      <c r="A32779" s="13" t="s">
        <v>3</v>
      </c>
    </row>
    <row r="32780" spans="1:1" x14ac:dyDescent="0.25">
      <c r="A32780" s="15" t="s">
        <v>95</v>
      </c>
    </row>
    <row r="32781" spans="1:1" x14ac:dyDescent="0.25">
      <c r="A32781" s="15" t="s">
        <v>94</v>
      </c>
    </row>
    <row r="32782" spans="1:1" x14ac:dyDescent="0.25">
      <c r="A32782" s="15" t="s">
        <v>4</v>
      </c>
    </row>
    <row r="32783" spans="1:1" x14ac:dyDescent="0.25">
      <c r="A32783" s="15" t="s">
        <v>118</v>
      </c>
    </row>
    <row r="32784" spans="1:1" x14ac:dyDescent="0.25">
      <c r="A32784" s="15" t="s">
        <v>5</v>
      </c>
    </row>
    <row r="32785" spans="1:1" x14ac:dyDescent="0.25">
      <c r="A32785" s="15" t="s">
        <v>6</v>
      </c>
    </row>
    <row r="32786" spans="1:1" x14ac:dyDescent="0.25">
      <c r="A32786" s="15" t="s">
        <v>7</v>
      </c>
    </row>
    <row r="32787" spans="1:1" x14ac:dyDescent="0.25">
      <c r="A32787" s="15" t="s">
        <v>8</v>
      </c>
    </row>
    <row r="32788" spans="1:1" x14ac:dyDescent="0.25">
      <c r="A32788" s="15" t="s">
        <v>9</v>
      </c>
    </row>
    <row r="32789" spans="1:1" x14ac:dyDescent="0.25">
      <c r="A32789" s="15" t="s">
        <v>10</v>
      </c>
    </row>
    <row r="32790" spans="1:1" x14ac:dyDescent="0.25">
      <c r="A32790" s="15" t="s">
        <v>11</v>
      </c>
    </row>
    <row r="32791" spans="1:1" x14ac:dyDescent="0.25">
      <c r="A32791" s="15" t="s">
        <v>12</v>
      </c>
    </row>
    <row r="32792" spans="1:1" x14ac:dyDescent="0.25">
      <c r="A32792" s="15" t="s">
        <v>13</v>
      </c>
    </row>
    <row r="32793" spans="1:1" x14ac:dyDescent="0.25">
      <c r="A32793" s="15" t="s">
        <v>14</v>
      </c>
    </row>
    <row r="32794" spans="1:1" x14ac:dyDescent="0.25">
      <c r="A32794" s="13" t="s">
        <v>31</v>
      </c>
    </row>
    <row r="32795" spans="1:1" x14ac:dyDescent="0.25">
      <c r="A32795" s="13" t="s">
        <v>87</v>
      </c>
    </row>
    <row r="32796" spans="1:1" x14ac:dyDescent="0.25">
      <c r="A32796" s="15" t="s">
        <v>30</v>
      </c>
    </row>
    <row r="32797" spans="1:1" x14ac:dyDescent="0.25">
      <c r="A32797" s="15" t="s">
        <v>26</v>
      </c>
    </row>
    <row r="32798" spans="1:1" x14ac:dyDescent="0.25">
      <c r="A32798" s="15" t="s">
        <v>27</v>
      </c>
    </row>
    <row r="32799" spans="1:1" x14ac:dyDescent="0.25">
      <c r="A32799" s="15" t="s">
        <v>28</v>
      </c>
    </row>
    <row r="32800" spans="1:1" x14ac:dyDescent="0.25">
      <c r="A32800" s="15" t="s">
        <v>89</v>
      </c>
    </row>
    <row r="32801" spans="1:1" x14ac:dyDescent="0.25">
      <c r="A32801" s="15" t="s">
        <v>90</v>
      </c>
    </row>
    <row r="32802" spans="1:1" x14ac:dyDescent="0.25">
      <c r="A32802" s="15" t="s">
        <v>185</v>
      </c>
    </row>
    <row r="32803" spans="1:1" x14ac:dyDescent="0.25">
      <c r="A32803" s="15" t="s">
        <v>186</v>
      </c>
    </row>
    <row r="32804" spans="1:1" x14ac:dyDescent="0.25">
      <c r="A32804" s="15" t="s">
        <v>187</v>
      </c>
    </row>
    <row r="32805" spans="1:1" x14ac:dyDescent="0.25">
      <c r="A32805" s="15" t="s">
        <v>188</v>
      </c>
    </row>
    <row r="32806" spans="1:1" x14ac:dyDescent="0.25">
      <c r="A32806" s="15" t="s">
        <v>189</v>
      </c>
    </row>
    <row r="32807" spans="1:1" x14ac:dyDescent="0.25">
      <c r="A32807" s="15" t="s">
        <v>190</v>
      </c>
    </row>
    <row r="32808" spans="1:1" x14ac:dyDescent="0.25">
      <c r="A32808" s="15" t="s">
        <v>191</v>
      </c>
    </row>
    <row r="32809" spans="1:1" x14ac:dyDescent="0.25">
      <c r="A32809" s="14" t="s">
        <v>47</v>
      </c>
    </row>
    <row r="32810" spans="1:1" x14ac:dyDescent="0.25">
      <c r="A32810" s="14" t="s">
        <v>119</v>
      </c>
    </row>
    <row r="32811" spans="1:1" x14ac:dyDescent="0.25">
      <c r="A32811" s="14" t="s">
        <v>86</v>
      </c>
    </row>
    <row r="32812" spans="1:1" x14ac:dyDescent="0.25">
      <c r="A32812" s="13" t="s">
        <v>21</v>
      </c>
    </row>
    <row r="32813" spans="1:1" x14ac:dyDescent="0.25">
      <c r="A32813" s="14" t="s">
        <v>92</v>
      </c>
    </row>
    <row r="32814" spans="1:1" x14ac:dyDescent="0.25">
      <c r="A32814" s="14" t="s">
        <v>93</v>
      </c>
    </row>
    <row r="32815" spans="1:1" x14ac:dyDescent="0.25">
      <c r="A32815" s="14" t="s">
        <v>99</v>
      </c>
    </row>
    <row r="32816" spans="1:1" x14ac:dyDescent="0.25">
      <c r="A32816" s="14" t="s">
        <v>100</v>
      </c>
    </row>
    <row r="32817" spans="1:1" x14ac:dyDescent="0.25">
      <c r="A32817" s="13" t="s">
        <v>24</v>
      </c>
    </row>
    <row r="32818" spans="1:1" x14ac:dyDescent="0.25">
      <c r="A32818" s="13" t="s">
        <v>83</v>
      </c>
    </row>
    <row r="32819" spans="1:1" x14ac:dyDescent="0.25">
      <c r="A32819" s="13" t="s">
        <v>106</v>
      </c>
    </row>
    <row r="32820" spans="1:1" x14ac:dyDescent="0.25">
      <c r="A32820" s="13" t="s">
        <v>101</v>
      </c>
    </row>
    <row r="32821" spans="1:1" x14ac:dyDescent="0.25">
      <c r="A32821" s="13" t="s">
        <v>102</v>
      </c>
    </row>
    <row r="32822" spans="1:1" x14ac:dyDescent="0.25">
      <c r="A32822" s="13" t="s">
        <v>103</v>
      </c>
    </row>
    <row r="32823" spans="1:1" x14ac:dyDescent="0.25">
      <c r="A32823" s="13" t="s">
        <v>104</v>
      </c>
    </row>
    <row r="32824" spans="1:1" x14ac:dyDescent="0.25">
      <c r="A32824" s="13" t="s">
        <v>105</v>
      </c>
    </row>
    <row r="49154" spans="1:1" x14ac:dyDescent="0.25">
      <c r="A49154" s="13" t="s">
        <v>0</v>
      </c>
    </row>
    <row r="49155" spans="1:1" x14ac:dyDescent="0.25">
      <c r="A49155" s="13" t="s">
        <v>125</v>
      </c>
    </row>
    <row r="49156" spans="1:1" x14ac:dyDescent="0.25">
      <c r="A49156" s="13" t="s">
        <v>1</v>
      </c>
    </row>
    <row r="49157" spans="1:1" x14ac:dyDescent="0.25">
      <c r="A49157" s="13" t="s">
        <v>2</v>
      </c>
    </row>
    <row r="49158" spans="1:1" x14ac:dyDescent="0.25">
      <c r="A49158" s="14" t="s">
        <v>25</v>
      </c>
    </row>
    <row r="49159" spans="1:1" x14ac:dyDescent="0.25">
      <c r="A49159" s="13" t="s">
        <v>126</v>
      </c>
    </row>
    <row r="49160" spans="1:1" x14ac:dyDescent="0.25">
      <c r="A49160" s="13" t="s">
        <v>127</v>
      </c>
    </row>
    <row r="49161" spans="1:1" x14ac:dyDescent="0.25">
      <c r="A49161" s="13" t="s">
        <v>88</v>
      </c>
    </row>
    <row r="49162" spans="1:1" x14ac:dyDescent="0.25">
      <c r="A49162" s="13" t="s">
        <v>22</v>
      </c>
    </row>
    <row r="49163" spans="1:1" x14ac:dyDescent="0.25">
      <c r="A49163" s="13" t="s">
        <v>3</v>
      </c>
    </row>
    <row r="49164" spans="1:1" x14ac:dyDescent="0.25">
      <c r="A49164" s="15" t="s">
        <v>95</v>
      </c>
    </row>
    <row r="49165" spans="1:1" x14ac:dyDescent="0.25">
      <c r="A49165" s="15" t="s">
        <v>94</v>
      </c>
    </row>
    <row r="49166" spans="1:1" x14ac:dyDescent="0.25">
      <c r="A49166" s="15" t="s">
        <v>4</v>
      </c>
    </row>
    <row r="49167" spans="1:1" x14ac:dyDescent="0.25">
      <c r="A49167" s="15" t="s">
        <v>118</v>
      </c>
    </row>
    <row r="49168" spans="1:1" x14ac:dyDescent="0.25">
      <c r="A49168" s="15" t="s">
        <v>5</v>
      </c>
    </row>
    <row r="49169" spans="1:1" x14ac:dyDescent="0.25">
      <c r="A49169" s="15" t="s">
        <v>6</v>
      </c>
    </row>
    <row r="49170" spans="1:1" x14ac:dyDescent="0.25">
      <c r="A49170" s="15" t="s">
        <v>7</v>
      </c>
    </row>
    <row r="49171" spans="1:1" x14ac:dyDescent="0.25">
      <c r="A49171" s="15" t="s">
        <v>8</v>
      </c>
    </row>
    <row r="49172" spans="1:1" x14ac:dyDescent="0.25">
      <c r="A49172" s="15" t="s">
        <v>9</v>
      </c>
    </row>
    <row r="49173" spans="1:1" x14ac:dyDescent="0.25">
      <c r="A49173" s="15" t="s">
        <v>10</v>
      </c>
    </row>
    <row r="49174" spans="1:1" x14ac:dyDescent="0.25">
      <c r="A49174" s="15" t="s">
        <v>11</v>
      </c>
    </row>
    <row r="49175" spans="1:1" x14ac:dyDescent="0.25">
      <c r="A49175" s="15" t="s">
        <v>12</v>
      </c>
    </row>
    <row r="49176" spans="1:1" x14ac:dyDescent="0.25">
      <c r="A49176" s="15" t="s">
        <v>13</v>
      </c>
    </row>
    <row r="49177" spans="1:1" x14ac:dyDescent="0.25">
      <c r="A49177" s="15" t="s">
        <v>14</v>
      </c>
    </row>
    <row r="49178" spans="1:1" x14ac:dyDescent="0.25">
      <c r="A49178" s="13" t="s">
        <v>31</v>
      </c>
    </row>
    <row r="49179" spans="1:1" x14ac:dyDescent="0.25">
      <c r="A49179" s="13" t="s">
        <v>87</v>
      </c>
    </row>
    <row r="49180" spans="1:1" x14ac:dyDescent="0.25">
      <c r="A49180" s="15" t="s">
        <v>30</v>
      </c>
    </row>
    <row r="49181" spans="1:1" x14ac:dyDescent="0.25">
      <c r="A49181" s="15" t="s">
        <v>26</v>
      </c>
    </row>
    <row r="49182" spans="1:1" x14ac:dyDescent="0.25">
      <c r="A49182" s="15" t="s">
        <v>27</v>
      </c>
    </row>
    <row r="49183" spans="1:1" x14ac:dyDescent="0.25">
      <c r="A49183" s="15" t="s">
        <v>28</v>
      </c>
    </row>
    <row r="49184" spans="1:1" x14ac:dyDescent="0.25">
      <c r="A49184" s="15" t="s">
        <v>89</v>
      </c>
    </row>
    <row r="49185" spans="1:1" x14ac:dyDescent="0.25">
      <c r="A49185" s="15" t="s">
        <v>90</v>
      </c>
    </row>
    <row r="49186" spans="1:1" x14ac:dyDescent="0.25">
      <c r="A49186" s="15" t="s">
        <v>185</v>
      </c>
    </row>
    <row r="49187" spans="1:1" x14ac:dyDescent="0.25">
      <c r="A49187" s="15" t="s">
        <v>186</v>
      </c>
    </row>
    <row r="49188" spans="1:1" x14ac:dyDescent="0.25">
      <c r="A49188" s="15" t="s">
        <v>187</v>
      </c>
    </row>
    <row r="49189" spans="1:1" x14ac:dyDescent="0.25">
      <c r="A49189" s="15" t="s">
        <v>188</v>
      </c>
    </row>
    <row r="49190" spans="1:1" x14ac:dyDescent="0.25">
      <c r="A49190" s="15" t="s">
        <v>189</v>
      </c>
    </row>
    <row r="49191" spans="1:1" x14ac:dyDescent="0.25">
      <c r="A49191" s="15" t="s">
        <v>190</v>
      </c>
    </row>
    <row r="49192" spans="1:1" x14ac:dyDescent="0.25">
      <c r="A49192" s="15" t="s">
        <v>191</v>
      </c>
    </row>
    <row r="49193" spans="1:1" x14ac:dyDescent="0.25">
      <c r="A49193" s="14" t="s">
        <v>47</v>
      </c>
    </row>
    <row r="49194" spans="1:1" x14ac:dyDescent="0.25">
      <c r="A49194" s="14" t="s">
        <v>119</v>
      </c>
    </row>
    <row r="49195" spans="1:1" x14ac:dyDescent="0.25">
      <c r="A49195" s="14" t="s">
        <v>86</v>
      </c>
    </row>
    <row r="49196" spans="1:1" x14ac:dyDescent="0.25">
      <c r="A49196" s="13" t="s">
        <v>21</v>
      </c>
    </row>
    <row r="49197" spans="1:1" x14ac:dyDescent="0.25">
      <c r="A49197" s="14" t="s">
        <v>92</v>
      </c>
    </row>
    <row r="49198" spans="1:1" x14ac:dyDescent="0.25">
      <c r="A49198" s="14" t="s">
        <v>93</v>
      </c>
    </row>
    <row r="49199" spans="1:1" x14ac:dyDescent="0.25">
      <c r="A49199" s="14" t="s">
        <v>99</v>
      </c>
    </row>
    <row r="49200" spans="1:1" x14ac:dyDescent="0.25">
      <c r="A49200" s="14" t="s">
        <v>100</v>
      </c>
    </row>
    <row r="49201" spans="1:1" x14ac:dyDescent="0.25">
      <c r="A49201" s="13" t="s">
        <v>24</v>
      </c>
    </row>
    <row r="49202" spans="1:1" x14ac:dyDescent="0.25">
      <c r="A49202" s="13" t="s">
        <v>83</v>
      </c>
    </row>
    <row r="49203" spans="1:1" x14ac:dyDescent="0.25">
      <c r="A49203" s="13" t="s">
        <v>106</v>
      </c>
    </row>
    <row r="49204" spans="1:1" x14ac:dyDescent="0.25">
      <c r="A49204" s="13" t="s">
        <v>101</v>
      </c>
    </row>
    <row r="49205" spans="1:1" x14ac:dyDescent="0.25">
      <c r="A49205" s="13" t="s">
        <v>102</v>
      </c>
    </row>
    <row r="49206" spans="1:1" x14ac:dyDescent="0.25">
      <c r="A49206" s="13" t="s">
        <v>103</v>
      </c>
    </row>
    <row r="49207" spans="1:1" x14ac:dyDescent="0.25">
      <c r="A49207" s="13" t="s">
        <v>104</v>
      </c>
    </row>
    <row r="49208" spans="1:1" x14ac:dyDescent="0.25">
      <c r="A49208" s="13" t="s">
        <v>105</v>
      </c>
    </row>
    <row r="65538" spans="1:1" x14ac:dyDescent="0.25">
      <c r="A65538" s="13" t="s">
        <v>0</v>
      </c>
    </row>
    <row r="65539" spans="1:1" x14ac:dyDescent="0.25">
      <c r="A65539" s="13" t="s">
        <v>125</v>
      </c>
    </row>
    <row r="65540" spans="1:1" x14ac:dyDescent="0.25">
      <c r="A65540" s="13" t="s">
        <v>1</v>
      </c>
    </row>
    <row r="65541" spans="1:1" x14ac:dyDescent="0.25">
      <c r="A65541" s="13" t="s">
        <v>2</v>
      </c>
    </row>
    <row r="65542" spans="1:1" x14ac:dyDescent="0.25">
      <c r="A65542" s="14" t="s">
        <v>25</v>
      </c>
    </row>
    <row r="65543" spans="1:1" x14ac:dyDescent="0.25">
      <c r="A65543" s="13" t="s">
        <v>126</v>
      </c>
    </row>
    <row r="65544" spans="1:1" x14ac:dyDescent="0.25">
      <c r="A65544" s="13" t="s">
        <v>127</v>
      </c>
    </row>
    <row r="65545" spans="1:1" x14ac:dyDescent="0.25">
      <c r="A65545" s="13" t="s">
        <v>88</v>
      </c>
    </row>
    <row r="65546" spans="1:1" x14ac:dyDescent="0.25">
      <c r="A65546" s="13" t="s">
        <v>22</v>
      </c>
    </row>
    <row r="65547" spans="1:1" x14ac:dyDescent="0.25">
      <c r="A65547" s="13" t="s">
        <v>3</v>
      </c>
    </row>
    <row r="65548" spans="1:1" x14ac:dyDescent="0.25">
      <c r="A65548" s="15" t="s">
        <v>95</v>
      </c>
    </row>
    <row r="65549" spans="1:1" x14ac:dyDescent="0.25">
      <c r="A65549" s="15" t="s">
        <v>94</v>
      </c>
    </row>
    <row r="65550" spans="1:1" x14ac:dyDescent="0.25">
      <c r="A65550" s="15" t="s">
        <v>4</v>
      </c>
    </row>
    <row r="65551" spans="1:1" x14ac:dyDescent="0.25">
      <c r="A65551" s="15" t="s">
        <v>118</v>
      </c>
    </row>
    <row r="65552" spans="1:1" x14ac:dyDescent="0.25">
      <c r="A65552" s="15" t="s">
        <v>5</v>
      </c>
    </row>
    <row r="65553" spans="1:1" x14ac:dyDescent="0.25">
      <c r="A65553" s="15" t="s">
        <v>6</v>
      </c>
    </row>
    <row r="65554" spans="1:1" x14ac:dyDescent="0.25">
      <c r="A65554" s="15" t="s">
        <v>7</v>
      </c>
    </row>
    <row r="65555" spans="1:1" x14ac:dyDescent="0.25">
      <c r="A65555" s="15" t="s">
        <v>8</v>
      </c>
    </row>
    <row r="65556" spans="1:1" x14ac:dyDescent="0.25">
      <c r="A65556" s="15" t="s">
        <v>9</v>
      </c>
    </row>
    <row r="65557" spans="1:1" x14ac:dyDescent="0.25">
      <c r="A65557" s="15" t="s">
        <v>10</v>
      </c>
    </row>
    <row r="65558" spans="1:1" x14ac:dyDescent="0.25">
      <c r="A65558" s="15" t="s">
        <v>11</v>
      </c>
    </row>
    <row r="65559" spans="1:1" x14ac:dyDescent="0.25">
      <c r="A65559" s="15" t="s">
        <v>12</v>
      </c>
    </row>
    <row r="65560" spans="1:1" x14ac:dyDescent="0.25">
      <c r="A65560" s="15" t="s">
        <v>13</v>
      </c>
    </row>
    <row r="65561" spans="1:1" x14ac:dyDescent="0.25">
      <c r="A65561" s="15" t="s">
        <v>14</v>
      </c>
    </row>
    <row r="65562" spans="1:1" x14ac:dyDescent="0.25">
      <c r="A65562" s="13" t="s">
        <v>31</v>
      </c>
    </row>
    <row r="65563" spans="1:1" x14ac:dyDescent="0.25">
      <c r="A65563" s="13" t="s">
        <v>87</v>
      </c>
    </row>
    <row r="65564" spans="1:1" x14ac:dyDescent="0.25">
      <c r="A65564" s="15" t="s">
        <v>30</v>
      </c>
    </row>
    <row r="65565" spans="1:1" x14ac:dyDescent="0.25">
      <c r="A65565" s="15" t="s">
        <v>26</v>
      </c>
    </row>
    <row r="65566" spans="1:1" x14ac:dyDescent="0.25">
      <c r="A65566" s="15" t="s">
        <v>27</v>
      </c>
    </row>
    <row r="65567" spans="1:1" x14ac:dyDescent="0.25">
      <c r="A65567" s="15" t="s">
        <v>28</v>
      </c>
    </row>
    <row r="65568" spans="1:1" x14ac:dyDescent="0.25">
      <c r="A65568" s="15" t="s">
        <v>89</v>
      </c>
    </row>
    <row r="65569" spans="1:1" x14ac:dyDescent="0.25">
      <c r="A65569" s="15" t="s">
        <v>90</v>
      </c>
    </row>
    <row r="65570" spans="1:1" x14ac:dyDescent="0.25">
      <c r="A65570" s="15" t="s">
        <v>185</v>
      </c>
    </row>
    <row r="65571" spans="1:1" x14ac:dyDescent="0.25">
      <c r="A65571" s="15" t="s">
        <v>186</v>
      </c>
    </row>
    <row r="65572" spans="1:1" x14ac:dyDescent="0.25">
      <c r="A65572" s="15" t="s">
        <v>187</v>
      </c>
    </row>
    <row r="65573" spans="1:1" x14ac:dyDescent="0.25">
      <c r="A65573" s="15" t="s">
        <v>188</v>
      </c>
    </row>
    <row r="65574" spans="1:1" x14ac:dyDescent="0.25">
      <c r="A65574" s="15" t="s">
        <v>189</v>
      </c>
    </row>
    <row r="65575" spans="1:1" x14ac:dyDescent="0.25">
      <c r="A65575" s="15" t="s">
        <v>190</v>
      </c>
    </row>
    <row r="65576" spans="1:1" x14ac:dyDescent="0.25">
      <c r="A65576" s="15" t="s">
        <v>191</v>
      </c>
    </row>
    <row r="65577" spans="1:1" x14ac:dyDescent="0.25">
      <c r="A65577" s="14" t="s">
        <v>47</v>
      </c>
    </row>
    <row r="65578" spans="1:1" x14ac:dyDescent="0.25">
      <c r="A65578" s="14" t="s">
        <v>119</v>
      </c>
    </row>
    <row r="65579" spans="1:1" x14ac:dyDescent="0.25">
      <c r="A65579" s="14" t="s">
        <v>86</v>
      </c>
    </row>
    <row r="65580" spans="1:1" x14ac:dyDescent="0.25">
      <c r="A65580" s="13" t="s">
        <v>21</v>
      </c>
    </row>
    <row r="65581" spans="1:1" x14ac:dyDescent="0.25">
      <c r="A65581" s="14" t="s">
        <v>92</v>
      </c>
    </row>
    <row r="65582" spans="1:1" x14ac:dyDescent="0.25">
      <c r="A65582" s="14" t="s">
        <v>93</v>
      </c>
    </row>
    <row r="65583" spans="1:1" x14ac:dyDescent="0.25">
      <c r="A65583" s="14" t="s">
        <v>99</v>
      </c>
    </row>
    <row r="65584" spans="1:1" x14ac:dyDescent="0.25">
      <c r="A65584" s="14" t="s">
        <v>100</v>
      </c>
    </row>
    <row r="65585" spans="1:1" x14ac:dyDescent="0.25">
      <c r="A65585" s="13" t="s">
        <v>24</v>
      </c>
    </row>
    <row r="65586" spans="1:1" x14ac:dyDescent="0.25">
      <c r="A65586" s="13" t="s">
        <v>83</v>
      </c>
    </row>
    <row r="65587" spans="1:1" x14ac:dyDescent="0.25">
      <c r="A65587" s="13" t="s">
        <v>106</v>
      </c>
    </row>
    <row r="65588" spans="1:1" x14ac:dyDescent="0.25">
      <c r="A65588" s="13" t="s">
        <v>101</v>
      </c>
    </row>
    <row r="65589" spans="1:1" x14ac:dyDescent="0.25">
      <c r="A65589" s="13" t="s">
        <v>102</v>
      </c>
    </row>
    <row r="65590" spans="1:1" x14ac:dyDescent="0.25">
      <c r="A65590" s="13" t="s">
        <v>103</v>
      </c>
    </row>
    <row r="65591" spans="1:1" x14ac:dyDescent="0.25">
      <c r="A65591" s="13" t="s">
        <v>104</v>
      </c>
    </row>
    <row r="65592" spans="1:1" x14ac:dyDescent="0.25">
      <c r="A65592" s="13" t="s">
        <v>105</v>
      </c>
    </row>
    <row r="81922" spans="1:1" x14ac:dyDescent="0.25">
      <c r="A81922" s="13" t="s">
        <v>0</v>
      </c>
    </row>
    <row r="81923" spans="1:1" x14ac:dyDescent="0.25">
      <c r="A81923" s="13" t="s">
        <v>125</v>
      </c>
    </row>
    <row r="81924" spans="1:1" x14ac:dyDescent="0.25">
      <c r="A81924" s="13" t="s">
        <v>1</v>
      </c>
    </row>
    <row r="81925" spans="1:1" x14ac:dyDescent="0.25">
      <c r="A81925" s="13" t="s">
        <v>2</v>
      </c>
    </row>
    <row r="81926" spans="1:1" x14ac:dyDescent="0.25">
      <c r="A81926" s="14" t="s">
        <v>25</v>
      </c>
    </row>
    <row r="81927" spans="1:1" x14ac:dyDescent="0.25">
      <c r="A81927" s="13" t="s">
        <v>126</v>
      </c>
    </row>
    <row r="81928" spans="1:1" x14ac:dyDescent="0.25">
      <c r="A81928" s="13" t="s">
        <v>127</v>
      </c>
    </row>
    <row r="81929" spans="1:1" x14ac:dyDescent="0.25">
      <c r="A81929" s="13" t="s">
        <v>88</v>
      </c>
    </row>
    <row r="81930" spans="1:1" x14ac:dyDescent="0.25">
      <c r="A81930" s="13" t="s">
        <v>22</v>
      </c>
    </row>
    <row r="81931" spans="1:1" x14ac:dyDescent="0.25">
      <c r="A81931" s="13" t="s">
        <v>3</v>
      </c>
    </row>
    <row r="81932" spans="1:1" x14ac:dyDescent="0.25">
      <c r="A81932" s="15" t="s">
        <v>95</v>
      </c>
    </row>
    <row r="81933" spans="1:1" x14ac:dyDescent="0.25">
      <c r="A81933" s="15" t="s">
        <v>94</v>
      </c>
    </row>
    <row r="81934" spans="1:1" x14ac:dyDescent="0.25">
      <c r="A81934" s="15" t="s">
        <v>4</v>
      </c>
    </row>
    <row r="81935" spans="1:1" x14ac:dyDescent="0.25">
      <c r="A81935" s="15" t="s">
        <v>118</v>
      </c>
    </row>
    <row r="81936" spans="1:1" x14ac:dyDescent="0.25">
      <c r="A81936" s="15" t="s">
        <v>5</v>
      </c>
    </row>
    <row r="81937" spans="1:1" x14ac:dyDescent="0.25">
      <c r="A81937" s="15" t="s">
        <v>6</v>
      </c>
    </row>
    <row r="81938" spans="1:1" x14ac:dyDescent="0.25">
      <c r="A81938" s="15" t="s">
        <v>7</v>
      </c>
    </row>
    <row r="81939" spans="1:1" x14ac:dyDescent="0.25">
      <c r="A81939" s="15" t="s">
        <v>8</v>
      </c>
    </row>
    <row r="81940" spans="1:1" x14ac:dyDescent="0.25">
      <c r="A81940" s="15" t="s">
        <v>9</v>
      </c>
    </row>
    <row r="81941" spans="1:1" x14ac:dyDescent="0.25">
      <c r="A81941" s="15" t="s">
        <v>10</v>
      </c>
    </row>
    <row r="81942" spans="1:1" x14ac:dyDescent="0.25">
      <c r="A81942" s="15" t="s">
        <v>11</v>
      </c>
    </row>
    <row r="81943" spans="1:1" x14ac:dyDescent="0.25">
      <c r="A81943" s="15" t="s">
        <v>12</v>
      </c>
    </row>
    <row r="81944" spans="1:1" x14ac:dyDescent="0.25">
      <c r="A81944" s="15" t="s">
        <v>13</v>
      </c>
    </row>
    <row r="81945" spans="1:1" x14ac:dyDescent="0.25">
      <c r="A81945" s="15" t="s">
        <v>14</v>
      </c>
    </row>
    <row r="81946" spans="1:1" x14ac:dyDescent="0.25">
      <c r="A81946" s="13" t="s">
        <v>31</v>
      </c>
    </row>
    <row r="81947" spans="1:1" x14ac:dyDescent="0.25">
      <c r="A81947" s="13" t="s">
        <v>87</v>
      </c>
    </row>
    <row r="81948" spans="1:1" x14ac:dyDescent="0.25">
      <c r="A81948" s="15" t="s">
        <v>30</v>
      </c>
    </row>
    <row r="81949" spans="1:1" x14ac:dyDescent="0.25">
      <c r="A81949" s="15" t="s">
        <v>26</v>
      </c>
    </row>
    <row r="81950" spans="1:1" x14ac:dyDescent="0.25">
      <c r="A81950" s="15" t="s">
        <v>27</v>
      </c>
    </row>
    <row r="81951" spans="1:1" x14ac:dyDescent="0.25">
      <c r="A81951" s="15" t="s">
        <v>28</v>
      </c>
    </row>
    <row r="81952" spans="1:1" x14ac:dyDescent="0.25">
      <c r="A81952" s="15" t="s">
        <v>89</v>
      </c>
    </row>
    <row r="81953" spans="1:1" x14ac:dyDescent="0.25">
      <c r="A81953" s="15" t="s">
        <v>90</v>
      </c>
    </row>
    <row r="81954" spans="1:1" x14ac:dyDescent="0.25">
      <c r="A81954" s="15" t="s">
        <v>185</v>
      </c>
    </row>
    <row r="81955" spans="1:1" x14ac:dyDescent="0.25">
      <c r="A81955" s="15" t="s">
        <v>186</v>
      </c>
    </row>
    <row r="81956" spans="1:1" x14ac:dyDescent="0.25">
      <c r="A81956" s="15" t="s">
        <v>187</v>
      </c>
    </row>
    <row r="81957" spans="1:1" x14ac:dyDescent="0.25">
      <c r="A81957" s="15" t="s">
        <v>188</v>
      </c>
    </row>
    <row r="81958" spans="1:1" x14ac:dyDescent="0.25">
      <c r="A81958" s="15" t="s">
        <v>189</v>
      </c>
    </row>
    <row r="81959" spans="1:1" x14ac:dyDescent="0.25">
      <c r="A81959" s="15" t="s">
        <v>190</v>
      </c>
    </row>
    <row r="81960" spans="1:1" x14ac:dyDescent="0.25">
      <c r="A81960" s="15" t="s">
        <v>191</v>
      </c>
    </row>
    <row r="81961" spans="1:1" x14ac:dyDescent="0.25">
      <c r="A81961" s="14" t="s">
        <v>47</v>
      </c>
    </row>
    <row r="81962" spans="1:1" x14ac:dyDescent="0.25">
      <c r="A81962" s="14" t="s">
        <v>119</v>
      </c>
    </row>
    <row r="81963" spans="1:1" x14ac:dyDescent="0.25">
      <c r="A81963" s="14" t="s">
        <v>86</v>
      </c>
    </row>
    <row r="81964" spans="1:1" x14ac:dyDescent="0.25">
      <c r="A81964" s="13" t="s">
        <v>21</v>
      </c>
    </row>
    <row r="81965" spans="1:1" x14ac:dyDescent="0.25">
      <c r="A81965" s="14" t="s">
        <v>92</v>
      </c>
    </row>
    <row r="81966" spans="1:1" x14ac:dyDescent="0.25">
      <c r="A81966" s="14" t="s">
        <v>93</v>
      </c>
    </row>
    <row r="81967" spans="1:1" x14ac:dyDescent="0.25">
      <c r="A81967" s="14" t="s">
        <v>99</v>
      </c>
    </row>
    <row r="81968" spans="1:1" x14ac:dyDescent="0.25">
      <c r="A81968" s="14" t="s">
        <v>100</v>
      </c>
    </row>
    <row r="81969" spans="1:1" x14ac:dyDescent="0.25">
      <c r="A81969" s="13" t="s">
        <v>24</v>
      </c>
    </row>
    <row r="81970" spans="1:1" x14ac:dyDescent="0.25">
      <c r="A81970" s="13" t="s">
        <v>83</v>
      </c>
    </row>
    <row r="81971" spans="1:1" x14ac:dyDescent="0.25">
      <c r="A81971" s="13" t="s">
        <v>106</v>
      </c>
    </row>
    <row r="81972" spans="1:1" x14ac:dyDescent="0.25">
      <c r="A81972" s="13" t="s">
        <v>101</v>
      </c>
    </row>
    <row r="81973" spans="1:1" x14ac:dyDescent="0.25">
      <c r="A81973" s="13" t="s">
        <v>102</v>
      </c>
    </row>
    <row r="81974" spans="1:1" x14ac:dyDescent="0.25">
      <c r="A81974" s="13" t="s">
        <v>103</v>
      </c>
    </row>
    <row r="81975" spans="1:1" x14ac:dyDescent="0.25">
      <c r="A81975" s="13" t="s">
        <v>104</v>
      </c>
    </row>
    <row r="81976" spans="1:1" x14ac:dyDescent="0.25">
      <c r="A81976" s="13" t="s">
        <v>105</v>
      </c>
    </row>
    <row r="98306" spans="1:1" x14ac:dyDescent="0.25">
      <c r="A98306" s="13" t="s">
        <v>0</v>
      </c>
    </row>
    <row r="98307" spans="1:1" x14ac:dyDescent="0.25">
      <c r="A98307" s="13" t="s">
        <v>125</v>
      </c>
    </row>
    <row r="98308" spans="1:1" x14ac:dyDescent="0.25">
      <c r="A98308" s="13" t="s">
        <v>1</v>
      </c>
    </row>
    <row r="98309" spans="1:1" x14ac:dyDescent="0.25">
      <c r="A98309" s="13" t="s">
        <v>2</v>
      </c>
    </row>
    <row r="98310" spans="1:1" x14ac:dyDescent="0.25">
      <c r="A98310" s="14" t="s">
        <v>25</v>
      </c>
    </row>
    <row r="98311" spans="1:1" x14ac:dyDescent="0.25">
      <c r="A98311" s="13" t="s">
        <v>126</v>
      </c>
    </row>
    <row r="98312" spans="1:1" x14ac:dyDescent="0.25">
      <c r="A98312" s="13" t="s">
        <v>127</v>
      </c>
    </row>
    <row r="98313" spans="1:1" x14ac:dyDescent="0.25">
      <c r="A98313" s="13" t="s">
        <v>88</v>
      </c>
    </row>
    <row r="98314" spans="1:1" x14ac:dyDescent="0.25">
      <c r="A98314" s="13" t="s">
        <v>22</v>
      </c>
    </row>
    <row r="98315" spans="1:1" x14ac:dyDescent="0.25">
      <c r="A98315" s="13" t="s">
        <v>3</v>
      </c>
    </row>
    <row r="98316" spans="1:1" x14ac:dyDescent="0.25">
      <c r="A98316" s="15" t="s">
        <v>95</v>
      </c>
    </row>
    <row r="98317" spans="1:1" x14ac:dyDescent="0.25">
      <c r="A98317" s="15" t="s">
        <v>94</v>
      </c>
    </row>
    <row r="98318" spans="1:1" x14ac:dyDescent="0.25">
      <c r="A98318" s="15" t="s">
        <v>4</v>
      </c>
    </row>
    <row r="98319" spans="1:1" x14ac:dyDescent="0.25">
      <c r="A98319" s="15" t="s">
        <v>118</v>
      </c>
    </row>
    <row r="98320" spans="1:1" x14ac:dyDescent="0.25">
      <c r="A98320" s="15" t="s">
        <v>5</v>
      </c>
    </row>
    <row r="98321" spans="1:1" x14ac:dyDescent="0.25">
      <c r="A98321" s="15" t="s">
        <v>6</v>
      </c>
    </row>
    <row r="98322" spans="1:1" x14ac:dyDescent="0.25">
      <c r="A98322" s="15" t="s">
        <v>7</v>
      </c>
    </row>
    <row r="98323" spans="1:1" x14ac:dyDescent="0.25">
      <c r="A98323" s="15" t="s">
        <v>8</v>
      </c>
    </row>
    <row r="98324" spans="1:1" x14ac:dyDescent="0.25">
      <c r="A98324" s="15" t="s">
        <v>9</v>
      </c>
    </row>
    <row r="98325" spans="1:1" x14ac:dyDescent="0.25">
      <c r="A98325" s="15" t="s">
        <v>10</v>
      </c>
    </row>
    <row r="98326" spans="1:1" x14ac:dyDescent="0.25">
      <c r="A98326" s="15" t="s">
        <v>11</v>
      </c>
    </row>
    <row r="98327" spans="1:1" x14ac:dyDescent="0.25">
      <c r="A98327" s="15" t="s">
        <v>12</v>
      </c>
    </row>
    <row r="98328" spans="1:1" x14ac:dyDescent="0.25">
      <c r="A98328" s="15" t="s">
        <v>13</v>
      </c>
    </row>
    <row r="98329" spans="1:1" x14ac:dyDescent="0.25">
      <c r="A98329" s="15" t="s">
        <v>14</v>
      </c>
    </row>
    <row r="98330" spans="1:1" x14ac:dyDescent="0.25">
      <c r="A98330" s="13" t="s">
        <v>31</v>
      </c>
    </row>
    <row r="98331" spans="1:1" x14ac:dyDescent="0.25">
      <c r="A98331" s="13" t="s">
        <v>87</v>
      </c>
    </row>
    <row r="98332" spans="1:1" x14ac:dyDescent="0.25">
      <c r="A98332" s="15" t="s">
        <v>30</v>
      </c>
    </row>
    <row r="98333" spans="1:1" x14ac:dyDescent="0.25">
      <c r="A98333" s="15" t="s">
        <v>26</v>
      </c>
    </row>
    <row r="98334" spans="1:1" x14ac:dyDescent="0.25">
      <c r="A98334" s="15" t="s">
        <v>27</v>
      </c>
    </row>
    <row r="98335" spans="1:1" x14ac:dyDescent="0.25">
      <c r="A98335" s="15" t="s">
        <v>28</v>
      </c>
    </row>
    <row r="98336" spans="1:1" x14ac:dyDescent="0.25">
      <c r="A98336" s="15" t="s">
        <v>89</v>
      </c>
    </row>
    <row r="98337" spans="1:1" x14ac:dyDescent="0.25">
      <c r="A98337" s="15" t="s">
        <v>90</v>
      </c>
    </row>
    <row r="98338" spans="1:1" x14ac:dyDescent="0.25">
      <c r="A98338" s="15" t="s">
        <v>185</v>
      </c>
    </row>
    <row r="98339" spans="1:1" x14ac:dyDescent="0.25">
      <c r="A98339" s="15" t="s">
        <v>186</v>
      </c>
    </row>
    <row r="98340" spans="1:1" x14ac:dyDescent="0.25">
      <c r="A98340" s="15" t="s">
        <v>187</v>
      </c>
    </row>
    <row r="98341" spans="1:1" x14ac:dyDescent="0.25">
      <c r="A98341" s="15" t="s">
        <v>188</v>
      </c>
    </row>
    <row r="98342" spans="1:1" x14ac:dyDescent="0.25">
      <c r="A98342" s="15" t="s">
        <v>189</v>
      </c>
    </row>
    <row r="98343" spans="1:1" x14ac:dyDescent="0.25">
      <c r="A98343" s="15" t="s">
        <v>190</v>
      </c>
    </row>
    <row r="98344" spans="1:1" x14ac:dyDescent="0.25">
      <c r="A98344" s="15" t="s">
        <v>191</v>
      </c>
    </row>
    <row r="98345" spans="1:1" x14ac:dyDescent="0.25">
      <c r="A98345" s="14" t="s">
        <v>47</v>
      </c>
    </row>
    <row r="98346" spans="1:1" x14ac:dyDescent="0.25">
      <c r="A98346" s="14" t="s">
        <v>119</v>
      </c>
    </row>
    <row r="98347" spans="1:1" x14ac:dyDescent="0.25">
      <c r="A98347" s="14" t="s">
        <v>86</v>
      </c>
    </row>
    <row r="98348" spans="1:1" x14ac:dyDescent="0.25">
      <c r="A98348" s="13" t="s">
        <v>21</v>
      </c>
    </row>
    <row r="98349" spans="1:1" x14ac:dyDescent="0.25">
      <c r="A98349" s="14" t="s">
        <v>92</v>
      </c>
    </row>
    <row r="98350" spans="1:1" x14ac:dyDescent="0.25">
      <c r="A98350" s="14" t="s">
        <v>93</v>
      </c>
    </row>
    <row r="98351" spans="1:1" x14ac:dyDescent="0.25">
      <c r="A98351" s="14" t="s">
        <v>99</v>
      </c>
    </row>
    <row r="98352" spans="1:1" x14ac:dyDescent="0.25">
      <c r="A98352" s="14" t="s">
        <v>100</v>
      </c>
    </row>
    <row r="98353" spans="1:1" x14ac:dyDescent="0.25">
      <c r="A98353" s="13" t="s">
        <v>24</v>
      </c>
    </row>
    <row r="98354" spans="1:1" x14ac:dyDescent="0.25">
      <c r="A98354" s="13" t="s">
        <v>83</v>
      </c>
    </row>
    <row r="98355" spans="1:1" x14ac:dyDescent="0.25">
      <c r="A98355" s="13" t="s">
        <v>106</v>
      </c>
    </row>
    <row r="98356" spans="1:1" x14ac:dyDescent="0.25">
      <c r="A98356" s="13" t="s">
        <v>101</v>
      </c>
    </row>
    <row r="98357" spans="1:1" x14ac:dyDescent="0.25">
      <c r="A98357" s="13" t="s">
        <v>102</v>
      </c>
    </row>
    <row r="98358" spans="1:1" x14ac:dyDescent="0.25">
      <c r="A98358" s="13" t="s">
        <v>103</v>
      </c>
    </row>
    <row r="98359" spans="1:1" x14ac:dyDescent="0.25">
      <c r="A98359" s="13" t="s">
        <v>104</v>
      </c>
    </row>
    <row r="98360" spans="1:1" x14ac:dyDescent="0.25">
      <c r="A98360" s="13" t="s">
        <v>105</v>
      </c>
    </row>
    <row r="114690" spans="1:1" x14ac:dyDescent="0.25">
      <c r="A114690" s="13" t="s">
        <v>0</v>
      </c>
    </row>
    <row r="114691" spans="1:1" x14ac:dyDescent="0.25">
      <c r="A114691" s="13" t="s">
        <v>125</v>
      </c>
    </row>
    <row r="114692" spans="1:1" x14ac:dyDescent="0.25">
      <c r="A114692" s="13" t="s">
        <v>1</v>
      </c>
    </row>
    <row r="114693" spans="1:1" x14ac:dyDescent="0.25">
      <c r="A114693" s="13" t="s">
        <v>2</v>
      </c>
    </row>
    <row r="114694" spans="1:1" x14ac:dyDescent="0.25">
      <c r="A114694" s="14" t="s">
        <v>25</v>
      </c>
    </row>
    <row r="114695" spans="1:1" x14ac:dyDescent="0.25">
      <c r="A114695" s="13" t="s">
        <v>126</v>
      </c>
    </row>
    <row r="114696" spans="1:1" x14ac:dyDescent="0.25">
      <c r="A114696" s="13" t="s">
        <v>127</v>
      </c>
    </row>
    <row r="114697" spans="1:1" x14ac:dyDescent="0.25">
      <c r="A114697" s="13" t="s">
        <v>88</v>
      </c>
    </row>
    <row r="114698" spans="1:1" x14ac:dyDescent="0.25">
      <c r="A114698" s="13" t="s">
        <v>22</v>
      </c>
    </row>
    <row r="114699" spans="1:1" x14ac:dyDescent="0.25">
      <c r="A114699" s="13" t="s">
        <v>3</v>
      </c>
    </row>
    <row r="114700" spans="1:1" x14ac:dyDescent="0.25">
      <c r="A114700" s="15" t="s">
        <v>95</v>
      </c>
    </row>
    <row r="114701" spans="1:1" x14ac:dyDescent="0.25">
      <c r="A114701" s="15" t="s">
        <v>94</v>
      </c>
    </row>
    <row r="114702" spans="1:1" x14ac:dyDescent="0.25">
      <c r="A114702" s="15" t="s">
        <v>4</v>
      </c>
    </row>
    <row r="114703" spans="1:1" x14ac:dyDescent="0.25">
      <c r="A114703" s="15" t="s">
        <v>118</v>
      </c>
    </row>
    <row r="114704" spans="1:1" x14ac:dyDescent="0.25">
      <c r="A114704" s="15" t="s">
        <v>5</v>
      </c>
    </row>
    <row r="114705" spans="1:1" x14ac:dyDescent="0.25">
      <c r="A114705" s="15" t="s">
        <v>6</v>
      </c>
    </row>
    <row r="114706" spans="1:1" x14ac:dyDescent="0.25">
      <c r="A114706" s="15" t="s">
        <v>7</v>
      </c>
    </row>
    <row r="114707" spans="1:1" x14ac:dyDescent="0.25">
      <c r="A114707" s="15" t="s">
        <v>8</v>
      </c>
    </row>
    <row r="114708" spans="1:1" x14ac:dyDescent="0.25">
      <c r="A114708" s="15" t="s">
        <v>9</v>
      </c>
    </row>
    <row r="114709" spans="1:1" x14ac:dyDescent="0.25">
      <c r="A114709" s="15" t="s">
        <v>10</v>
      </c>
    </row>
    <row r="114710" spans="1:1" x14ac:dyDescent="0.25">
      <c r="A114710" s="15" t="s">
        <v>11</v>
      </c>
    </row>
    <row r="114711" spans="1:1" x14ac:dyDescent="0.25">
      <c r="A114711" s="15" t="s">
        <v>12</v>
      </c>
    </row>
    <row r="114712" spans="1:1" x14ac:dyDescent="0.25">
      <c r="A114712" s="15" t="s">
        <v>13</v>
      </c>
    </row>
    <row r="114713" spans="1:1" x14ac:dyDescent="0.25">
      <c r="A114713" s="15" t="s">
        <v>14</v>
      </c>
    </row>
    <row r="114714" spans="1:1" x14ac:dyDescent="0.25">
      <c r="A114714" s="13" t="s">
        <v>31</v>
      </c>
    </row>
    <row r="114715" spans="1:1" x14ac:dyDescent="0.25">
      <c r="A114715" s="13" t="s">
        <v>87</v>
      </c>
    </row>
    <row r="114716" spans="1:1" x14ac:dyDescent="0.25">
      <c r="A114716" s="15" t="s">
        <v>30</v>
      </c>
    </row>
    <row r="114717" spans="1:1" x14ac:dyDescent="0.25">
      <c r="A114717" s="15" t="s">
        <v>26</v>
      </c>
    </row>
    <row r="114718" spans="1:1" x14ac:dyDescent="0.25">
      <c r="A114718" s="15" t="s">
        <v>27</v>
      </c>
    </row>
    <row r="114719" spans="1:1" x14ac:dyDescent="0.25">
      <c r="A114719" s="15" t="s">
        <v>28</v>
      </c>
    </row>
    <row r="114720" spans="1:1" x14ac:dyDescent="0.25">
      <c r="A114720" s="15" t="s">
        <v>89</v>
      </c>
    </row>
    <row r="114721" spans="1:1" x14ac:dyDescent="0.25">
      <c r="A114721" s="15" t="s">
        <v>90</v>
      </c>
    </row>
    <row r="114722" spans="1:1" x14ac:dyDescent="0.25">
      <c r="A114722" s="15" t="s">
        <v>185</v>
      </c>
    </row>
    <row r="114723" spans="1:1" x14ac:dyDescent="0.25">
      <c r="A114723" s="15" t="s">
        <v>186</v>
      </c>
    </row>
    <row r="114724" spans="1:1" x14ac:dyDescent="0.25">
      <c r="A114724" s="15" t="s">
        <v>187</v>
      </c>
    </row>
    <row r="114725" spans="1:1" x14ac:dyDescent="0.25">
      <c r="A114725" s="15" t="s">
        <v>188</v>
      </c>
    </row>
    <row r="114726" spans="1:1" x14ac:dyDescent="0.25">
      <c r="A114726" s="15" t="s">
        <v>189</v>
      </c>
    </row>
    <row r="114727" spans="1:1" x14ac:dyDescent="0.25">
      <c r="A114727" s="15" t="s">
        <v>190</v>
      </c>
    </row>
    <row r="114728" spans="1:1" x14ac:dyDescent="0.25">
      <c r="A114728" s="15" t="s">
        <v>191</v>
      </c>
    </row>
    <row r="114729" spans="1:1" x14ac:dyDescent="0.25">
      <c r="A114729" s="14" t="s">
        <v>47</v>
      </c>
    </row>
    <row r="114730" spans="1:1" x14ac:dyDescent="0.25">
      <c r="A114730" s="14" t="s">
        <v>119</v>
      </c>
    </row>
    <row r="114731" spans="1:1" x14ac:dyDescent="0.25">
      <c r="A114731" s="14" t="s">
        <v>86</v>
      </c>
    </row>
    <row r="114732" spans="1:1" x14ac:dyDescent="0.25">
      <c r="A114732" s="13" t="s">
        <v>21</v>
      </c>
    </row>
    <row r="114733" spans="1:1" x14ac:dyDescent="0.25">
      <c r="A114733" s="14" t="s">
        <v>92</v>
      </c>
    </row>
    <row r="114734" spans="1:1" x14ac:dyDescent="0.25">
      <c r="A114734" s="14" t="s">
        <v>93</v>
      </c>
    </row>
    <row r="114735" spans="1:1" x14ac:dyDescent="0.25">
      <c r="A114735" s="14" t="s">
        <v>99</v>
      </c>
    </row>
    <row r="114736" spans="1:1" x14ac:dyDescent="0.25">
      <c r="A114736" s="14" t="s">
        <v>100</v>
      </c>
    </row>
    <row r="114737" spans="1:1" x14ac:dyDescent="0.25">
      <c r="A114737" s="13" t="s">
        <v>24</v>
      </c>
    </row>
    <row r="114738" spans="1:1" x14ac:dyDescent="0.25">
      <c r="A114738" s="13" t="s">
        <v>83</v>
      </c>
    </row>
    <row r="114739" spans="1:1" x14ac:dyDescent="0.25">
      <c r="A114739" s="13" t="s">
        <v>106</v>
      </c>
    </row>
    <row r="114740" spans="1:1" x14ac:dyDescent="0.25">
      <c r="A114740" s="13" t="s">
        <v>101</v>
      </c>
    </row>
    <row r="114741" spans="1:1" x14ac:dyDescent="0.25">
      <c r="A114741" s="13" t="s">
        <v>102</v>
      </c>
    </row>
    <row r="114742" spans="1:1" x14ac:dyDescent="0.25">
      <c r="A114742" s="13" t="s">
        <v>103</v>
      </c>
    </row>
    <row r="114743" spans="1:1" x14ac:dyDescent="0.25">
      <c r="A114743" s="13" t="s">
        <v>104</v>
      </c>
    </row>
    <row r="114744" spans="1:1" x14ac:dyDescent="0.25">
      <c r="A114744" s="13" t="s">
        <v>105</v>
      </c>
    </row>
    <row r="131074" spans="1:1" x14ac:dyDescent="0.25">
      <c r="A131074" s="13" t="s">
        <v>0</v>
      </c>
    </row>
    <row r="131075" spans="1:1" x14ac:dyDescent="0.25">
      <c r="A131075" s="13" t="s">
        <v>125</v>
      </c>
    </row>
    <row r="131076" spans="1:1" x14ac:dyDescent="0.25">
      <c r="A131076" s="13" t="s">
        <v>1</v>
      </c>
    </row>
    <row r="131077" spans="1:1" x14ac:dyDescent="0.25">
      <c r="A131077" s="13" t="s">
        <v>2</v>
      </c>
    </row>
    <row r="131078" spans="1:1" x14ac:dyDescent="0.25">
      <c r="A131078" s="14" t="s">
        <v>25</v>
      </c>
    </row>
    <row r="131079" spans="1:1" x14ac:dyDescent="0.25">
      <c r="A131079" s="13" t="s">
        <v>126</v>
      </c>
    </row>
    <row r="131080" spans="1:1" x14ac:dyDescent="0.25">
      <c r="A131080" s="13" t="s">
        <v>127</v>
      </c>
    </row>
    <row r="131081" spans="1:1" x14ac:dyDescent="0.25">
      <c r="A131081" s="13" t="s">
        <v>88</v>
      </c>
    </row>
    <row r="131082" spans="1:1" x14ac:dyDescent="0.25">
      <c r="A131082" s="13" t="s">
        <v>22</v>
      </c>
    </row>
    <row r="131083" spans="1:1" x14ac:dyDescent="0.25">
      <c r="A131083" s="13" t="s">
        <v>3</v>
      </c>
    </row>
    <row r="131084" spans="1:1" x14ac:dyDescent="0.25">
      <c r="A131084" s="15" t="s">
        <v>95</v>
      </c>
    </row>
    <row r="131085" spans="1:1" x14ac:dyDescent="0.25">
      <c r="A131085" s="15" t="s">
        <v>94</v>
      </c>
    </row>
    <row r="131086" spans="1:1" x14ac:dyDescent="0.25">
      <c r="A131086" s="15" t="s">
        <v>4</v>
      </c>
    </row>
    <row r="131087" spans="1:1" x14ac:dyDescent="0.25">
      <c r="A131087" s="15" t="s">
        <v>118</v>
      </c>
    </row>
    <row r="131088" spans="1:1" x14ac:dyDescent="0.25">
      <c r="A131088" s="15" t="s">
        <v>5</v>
      </c>
    </row>
    <row r="131089" spans="1:1" x14ac:dyDescent="0.25">
      <c r="A131089" s="15" t="s">
        <v>6</v>
      </c>
    </row>
    <row r="131090" spans="1:1" x14ac:dyDescent="0.25">
      <c r="A131090" s="15" t="s">
        <v>7</v>
      </c>
    </row>
    <row r="131091" spans="1:1" x14ac:dyDescent="0.25">
      <c r="A131091" s="15" t="s">
        <v>8</v>
      </c>
    </row>
    <row r="131092" spans="1:1" x14ac:dyDescent="0.25">
      <c r="A131092" s="15" t="s">
        <v>9</v>
      </c>
    </row>
    <row r="131093" spans="1:1" x14ac:dyDescent="0.25">
      <c r="A131093" s="15" t="s">
        <v>10</v>
      </c>
    </row>
    <row r="131094" spans="1:1" x14ac:dyDescent="0.25">
      <c r="A131094" s="15" t="s">
        <v>11</v>
      </c>
    </row>
    <row r="131095" spans="1:1" x14ac:dyDescent="0.25">
      <c r="A131095" s="15" t="s">
        <v>12</v>
      </c>
    </row>
    <row r="131096" spans="1:1" x14ac:dyDescent="0.25">
      <c r="A131096" s="15" t="s">
        <v>13</v>
      </c>
    </row>
    <row r="131097" spans="1:1" x14ac:dyDescent="0.25">
      <c r="A131097" s="15" t="s">
        <v>14</v>
      </c>
    </row>
    <row r="131098" spans="1:1" x14ac:dyDescent="0.25">
      <c r="A131098" s="13" t="s">
        <v>31</v>
      </c>
    </row>
    <row r="131099" spans="1:1" x14ac:dyDescent="0.25">
      <c r="A131099" s="13" t="s">
        <v>87</v>
      </c>
    </row>
    <row r="131100" spans="1:1" x14ac:dyDescent="0.25">
      <c r="A131100" s="15" t="s">
        <v>30</v>
      </c>
    </row>
    <row r="131101" spans="1:1" x14ac:dyDescent="0.25">
      <c r="A131101" s="15" t="s">
        <v>26</v>
      </c>
    </row>
    <row r="131102" spans="1:1" x14ac:dyDescent="0.25">
      <c r="A131102" s="15" t="s">
        <v>27</v>
      </c>
    </row>
    <row r="131103" spans="1:1" x14ac:dyDescent="0.25">
      <c r="A131103" s="15" t="s">
        <v>28</v>
      </c>
    </row>
    <row r="131104" spans="1:1" x14ac:dyDescent="0.25">
      <c r="A131104" s="15" t="s">
        <v>89</v>
      </c>
    </row>
    <row r="131105" spans="1:1" x14ac:dyDescent="0.25">
      <c r="A131105" s="15" t="s">
        <v>90</v>
      </c>
    </row>
    <row r="131106" spans="1:1" x14ac:dyDescent="0.25">
      <c r="A131106" s="15" t="s">
        <v>185</v>
      </c>
    </row>
    <row r="131107" spans="1:1" x14ac:dyDescent="0.25">
      <c r="A131107" s="15" t="s">
        <v>186</v>
      </c>
    </row>
    <row r="131108" spans="1:1" x14ac:dyDescent="0.25">
      <c r="A131108" s="15" t="s">
        <v>187</v>
      </c>
    </row>
    <row r="131109" spans="1:1" x14ac:dyDescent="0.25">
      <c r="A131109" s="15" t="s">
        <v>188</v>
      </c>
    </row>
    <row r="131110" spans="1:1" x14ac:dyDescent="0.25">
      <c r="A131110" s="15" t="s">
        <v>189</v>
      </c>
    </row>
    <row r="131111" spans="1:1" x14ac:dyDescent="0.25">
      <c r="A131111" s="15" t="s">
        <v>190</v>
      </c>
    </row>
    <row r="131112" spans="1:1" x14ac:dyDescent="0.25">
      <c r="A131112" s="15" t="s">
        <v>191</v>
      </c>
    </row>
    <row r="131113" spans="1:1" x14ac:dyDescent="0.25">
      <c r="A131113" s="14" t="s">
        <v>47</v>
      </c>
    </row>
    <row r="131114" spans="1:1" x14ac:dyDescent="0.25">
      <c r="A131114" s="14" t="s">
        <v>119</v>
      </c>
    </row>
    <row r="131115" spans="1:1" x14ac:dyDescent="0.25">
      <c r="A131115" s="14" t="s">
        <v>86</v>
      </c>
    </row>
    <row r="131116" spans="1:1" x14ac:dyDescent="0.25">
      <c r="A131116" s="13" t="s">
        <v>21</v>
      </c>
    </row>
    <row r="131117" spans="1:1" x14ac:dyDescent="0.25">
      <c r="A131117" s="14" t="s">
        <v>92</v>
      </c>
    </row>
    <row r="131118" spans="1:1" x14ac:dyDescent="0.25">
      <c r="A131118" s="14" t="s">
        <v>93</v>
      </c>
    </row>
    <row r="131119" spans="1:1" x14ac:dyDescent="0.25">
      <c r="A131119" s="14" t="s">
        <v>99</v>
      </c>
    </row>
    <row r="131120" spans="1:1" x14ac:dyDescent="0.25">
      <c r="A131120" s="14" t="s">
        <v>100</v>
      </c>
    </row>
    <row r="131121" spans="1:1" x14ac:dyDescent="0.25">
      <c r="A131121" s="13" t="s">
        <v>24</v>
      </c>
    </row>
    <row r="131122" spans="1:1" x14ac:dyDescent="0.25">
      <c r="A131122" s="13" t="s">
        <v>83</v>
      </c>
    </row>
    <row r="131123" spans="1:1" x14ac:dyDescent="0.25">
      <c r="A131123" s="13" t="s">
        <v>106</v>
      </c>
    </row>
    <row r="131124" spans="1:1" x14ac:dyDescent="0.25">
      <c r="A131124" s="13" t="s">
        <v>101</v>
      </c>
    </row>
    <row r="131125" spans="1:1" x14ac:dyDescent="0.25">
      <c r="A131125" s="13" t="s">
        <v>102</v>
      </c>
    </row>
    <row r="131126" spans="1:1" x14ac:dyDescent="0.25">
      <c r="A131126" s="13" t="s">
        <v>103</v>
      </c>
    </row>
    <row r="131127" spans="1:1" x14ac:dyDescent="0.25">
      <c r="A131127" s="13" t="s">
        <v>104</v>
      </c>
    </row>
    <row r="131128" spans="1:1" x14ac:dyDescent="0.25">
      <c r="A131128" s="13" t="s">
        <v>105</v>
      </c>
    </row>
    <row r="147458" spans="1:1" x14ac:dyDescent="0.25">
      <c r="A147458" s="13" t="s">
        <v>0</v>
      </c>
    </row>
    <row r="147459" spans="1:1" x14ac:dyDescent="0.25">
      <c r="A147459" s="13" t="s">
        <v>125</v>
      </c>
    </row>
    <row r="147460" spans="1:1" x14ac:dyDescent="0.25">
      <c r="A147460" s="13" t="s">
        <v>1</v>
      </c>
    </row>
    <row r="147461" spans="1:1" x14ac:dyDescent="0.25">
      <c r="A147461" s="13" t="s">
        <v>2</v>
      </c>
    </row>
    <row r="147462" spans="1:1" x14ac:dyDescent="0.25">
      <c r="A147462" s="14" t="s">
        <v>25</v>
      </c>
    </row>
    <row r="147463" spans="1:1" x14ac:dyDescent="0.25">
      <c r="A147463" s="13" t="s">
        <v>126</v>
      </c>
    </row>
    <row r="147464" spans="1:1" x14ac:dyDescent="0.25">
      <c r="A147464" s="13" t="s">
        <v>127</v>
      </c>
    </row>
    <row r="147465" spans="1:1" x14ac:dyDescent="0.25">
      <c r="A147465" s="13" t="s">
        <v>88</v>
      </c>
    </row>
    <row r="147466" spans="1:1" x14ac:dyDescent="0.25">
      <c r="A147466" s="13" t="s">
        <v>22</v>
      </c>
    </row>
    <row r="147467" spans="1:1" x14ac:dyDescent="0.25">
      <c r="A147467" s="13" t="s">
        <v>3</v>
      </c>
    </row>
    <row r="147468" spans="1:1" x14ac:dyDescent="0.25">
      <c r="A147468" s="15" t="s">
        <v>95</v>
      </c>
    </row>
    <row r="147469" spans="1:1" x14ac:dyDescent="0.25">
      <c r="A147469" s="15" t="s">
        <v>94</v>
      </c>
    </row>
    <row r="147470" spans="1:1" x14ac:dyDescent="0.25">
      <c r="A147470" s="15" t="s">
        <v>4</v>
      </c>
    </row>
    <row r="147471" spans="1:1" x14ac:dyDescent="0.25">
      <c r="A147471" s="15" t="s">
        <v>118</v>
      </c>
    </row>
    <row r="147472" spans="1:1" x14ac:dyDescent="0.25">
      <c r="A147472" s="15" t="s">
        <v>5</v>
      </c>
    </row>
    <row r="147473" spans="1:1" x14ac:dyDescent="0.25">
      <c r="A147473" s="15" t="s">
        <v>6</v>
      </c>
    </row>
    <row r="147474" spans="1:1" x14ac:dyDescent="0.25">
      <c r="A147474" s="15" t="s">
        <v>7</v>
      </c>
    </row>
    <row r="147475" spans="1:1" x14ac:dyDescent="0.25">
      <c r="A147475" s="15" t="s">
        <v>8</v>
      </c>
    </row>
    <row r="147476" spans="1:1" x14ac:dyDescent="0.25">
      <c r="A147476" s="15" t="s">
        <v>9</v>
      </c>
    </row>
    <row r="147477" spans="1:1" x14ac:dyDescent="0.25">
      <c r="A147477" s="15" t="s">
        <v>10</v>
      </c>
    </row>
    <row r="147478" spans="1:1" x14ac:dyDescent="0.25">
      <c r="A147478" s="15" t="s">
        <v>11</v>
      </c>
    </row>
    <row r="147479" spans="1:1" x14ac:dyDescent="0.25">
      <c r="A147479" s="15" t="s">
        <v>12</v>
      </c>
    </row>
    <row r="147480" spans="1:1" x14ac:dyDescent="0.25">
      <c r="A147480" s="15" t="s">
        <v>13</v>
      </c>
    </row>
    <row r="147481" spans="1:1" x14ac:dyDescent="0.25">
      <c r="A147481" s="15" t="s">
        <v>14</v>
      </c>
    </row>
    <row r="147482" spans="1:1" x14ac:dyDescent="0.25">
      <c r="A147482" s="13" t="s">
        <v>31</v>
      </c>
    </row>
    <row r="147483" spans="1:1" x14ac:dyDescent="0.25">
      <c r="A147483" s="13" t="s">
        <v>87</v>
      </c>
    </row>
    <row r="147484" spans="1:1" x14ac:dyDescent="0.25">
      <c r="A147484" s="15" t="s">
        <v>30</v>
      </c>
    </row>
    <row r="147485" spans="1:1" x14ac:dyDescent="0.25">
      <c r="A147485" s="15" t="s">
        <v>26</v>
      </c>
    </row>
    <row r="147486" spans="1:1" x14ac:dyDescent="0.25">
      <c r="A147486" s="15" t="s">
        <v>27</v>
      </c>
    </row>
    <row r="147487" spans="1:1" x14ac:dyDescent="0.25">
      <c r="A147487" s="15" t="s">
        <v>28</v>
      </c>
    </row>
    <row r="147488" spans="1:1" x14ac:dyDescent="0.25">
      <c r="A147488" s="15" t="s">
        <v>89</v>
      </c>
    </row>
    <row r="147489" spans="1:1" x14ac:dyDescent="0.25">
      <c r="A147489" s="15" t="s">
        <v>90</v>
      </c>
    </row>
    <row r="147490" spans="1:1" x14ac:dyDescent="0.25">
      <c r="A147490" s="15" t="s">
        <v>185</v>
      </c>
    </row>
    <row r="147491" spans="1:1" x14ac:dyDescent="0.25">
      <c r="A147491" s="15" t="s">
        <v>186</v>
      </c>
    </row>
    <row r="147492" spans="1:1" x14ac:dyDescent="0.25">
      <c r="A147492" s="15" t="s">
        <v>187</v>
      </c>
    </row>
    <row r="147493" spans="1:1" x14ac:dyDescent="0.25">
      <c r="A147493" s="15" t="s">
        <v>188</v>
      </c>
    </row>
    <row r="147494" spans="1:1" x14ac:dyDescent="0.25">
      <c r="A147494" s="15" t="s">
        <v>189</v>
      </c>
    </row>
    <row r="147495" spans="1:1" x14ac:dyDescent="0.25">
      <c r="A147495" s="15" t="s">
        <v>190</v>
      </c>
    </row>
    <row r="147496" spans="1:1" x14ac:dyDescent="0.25">
      <c r="A147496" s="15" t="s">
        <v>191</v>
      </c>
    </row>
    <row r="147497" spans="1:1" x14ac:dyDescent="0.25">
      <c r="A147497" s="14" t="s">
        <v>47</v>
      </c>
    </row>
    <row r="147498" spans="1:1" x14ac:dyDescent="0.25">
      <c r="A147498" s="14" t="s">
        <v>119</v>
      </c>
    </row>
    <row r="147499" spans="1:1" x14ac:dyDescent="0.25">
      <c r="A147499" s="14" t="s">
        <v>86</v>
      </c>
    </row>
    <row r="147500" spans="1:1" x14ac:dyDescent="0.25">
      <c r="A147500" s="13" t="s">
        <v>21</v>
      </c>
    </row>
    <row r="147501" spans="1:1" x14ac:dyDescent="0.25">
      <c r="A147501" s="14" t="s">
        <v>92</v>
      </c>
    </row>
    <row r="147502" spans="1:1" x14ac:dyDescent="0.25">
      <c r="A147502" s="14" t="s">
        <v>93</v>
      </c>
    </row>
    <row r="147503" spans="1:1" x14ac:dyDescent="0.25">
      <c r="A147503" s="14" t="s">
        <v>99</v>
      </c>
    </row>
    <row r="147504" spans="1:1" x14ac:dyDescent="0.25">
      <c r="A147504" s="14" t="s">
        <v>100</v>
      </c>
    </row>
    <row r="147505" spans="1:1" x14ac:dyDescent="0.25">
      <c r="A147505" s="13" t="s">
        <v>24</v>
      </c>
    </row>
    <row r="147506" spans="1:1" x14ac:dyDescent="0.25">
      <c r="A147506" s="13" t="s">
        <v>83</v>
      </c>
    </row>
    <row r="147507" spans="1:1" x14ac:dyDescent="0.25">
      <c r="A147507" s="13" t="s">
        <v>106</v>
      </c>
    </row>
    <row r="147508" spans="1:1" x14ac:dyDescent="0.25">
      <c r="A147508" s="13" t="s">
        <v>101</v>
      </c>
    </row>
    <row r="147509" spans="1:1" x14ac:dyDescent="0.25">
      <c r="A147509" s="13" t="s">
        <v>102</v>
      </c>
    </row>
    <row r="147510" spans="1:1" x14ac:dyDescent="0.25">
      <c r="A147510" s="13" t="s">
        <v>103</v>
      </c>
    </row>
    <row r="147511" spans="1:1" x14ac:dyDescent="0.25">
      <c r="A147511" s="13" t="s">
        <v>104</v>
      </c>
    </row>
    <row r="147512" spans="1:1" x14ac:dyDescent="0.25">
      <c r="A147512" s="13" t="s">
        <v>105</v>
      </c>
    </row>
    <row r="163842" spans="1:1" x14ac:dyDescent="0.25">
      <c r="A163842" s="13" t="s">
        <v>0</v>
      </c>
    </row>
    <row r="163843" spans="1:1" x14ac:dyDescent="0.25">
      <c r="A163843" s="13" t="s">
        <v>125</v>
      </c>
    </row>
    <row r="163844" spans="1:1" x14ac:dyDescent="0.25">
      <c r="A163844" s="13" t="s">
        <v>1</v>
      </c>
    </row>
    <row r="163845" spans="1:1" x14ac:dyDescent="0.25">
      <c r="A163845" s="13" t="s">
        <v>2</v>
      </c>
    </row>
    <row r="163846" spans="1:1" x14ac:dyDescent="0.25">
      <c r="A163846" s="14" t="s">
        <v>25</v>
      </c>
    </row>
    <row r="163847" spans="1:1" x14ac:dyDescent="0.25">
      <c r="A163847" s="13" t="s">
        <v>126</v>
      </c>
    </row>
    <row r="163848" spans="1:1" x14ac:dyDescent="0.25">
      <c r="A163848" s="13" t="s">
        <v>127</v>
      </c>
    </row>
    <row r="163849" spans="1:1" x14ac:dyDescent="0.25">
      <c r="A163849" s="13" t="s">
        <v>88</v>
      </c>
    </row>
    <row r="163850" spans="1:1" x14ac:dyDescent="0.25">
      <c r="A163850" s="13" t="s">
        <v>22</v>
      </c>
    </row>
    <row r="163851" spans="1:1" x14ac:dyDescent="0.25">
      <c r="A163851" s="13" t="s">
        <v>3</v>
      </c>
    </row>
    <row r="163852" spans="1:1" x14ac:dyDescent="0.25">
      <c r="A163852" s="15" t="s">
        <v>95</v>
      </c>
    </row>
    <row r="163853" spans="1:1" x14ac:dyDescent="0.25">
      <c r="A163853" s="15" t="s">
        <v>94</v>
      </c>
    </row>
    <row r="163854" spans="1:1" x14ac:dyDescent="0.25">
      <c r="A163854" s="15" t="s">
        <v>4</v>
      </c>
    </row>
    <row r="163855" spans="1:1" x14ac:dyDescent="0.25">
      <c r="A163855" s="15" t="s">
        <v>118</v>
      </c>
    </row>
    <row r="163856" spans="1:1" x14ac:dyDescent="0.25">
      <c r="A163856" s="15" t="s">
        <v>5</v>
      </c>
    </row>
    <row r="163857" spans="1:1" x14ac:dyDescent="0.25">
      <c r="A163857" s="15" t="s">
        <v>6</v>
      </c>
    </row>
    <row r="163858" spans="1:1" x14ac:dyDescent="0.25">
      <c r="A163858" s="15" t="s">
        <v>7</v>
      </c>
    </row>
    <row r="163859" spans="1:1" x14ac:dyDescent="0.25">
      <c r="A163859" s="15" t="s">
        <v>8</v>
      </c>
    </row>
    <row r="163860" spans="1:1" x14ac:dyDescent="0.25">
      <c r="A163860" s="15" t="s">
        <v>9</v>
      </c>
    </row>
    <row r="163861" spans="1:1" x14ac:dyDescent="0.25">
      <c r="A163861" s="15" t="s">
        <v>10</v>
      </c>
    </row>
    <row r="163862" spans="1:1" x14ac:dyDescent="0.25">
      <c r="A163862" s="15" t="s">
        <v>11</v>
      </c>
    </row>
    <row r="163863" spans="1:1" x14ac:dyDescent="0.25">
      <c r="A163863" s="15" t="s">
        <v>12</v>
      </c>
    </row>
    <row r="163864" spans="1:1" x14ac:dyDescent="0.25">
      <c r="A163864" s="15" t="s">
        <v>13</v>
      </c>
    </row>
    <row r="163865" spans="1:1" x14ac:dyDescent="0.25">
      <c r="A163865" s="15" t="s">
        <v>14</v>
      </c>
    </row>
    <row r="163866" spans="1:1" x14ac:dyDescent="0.25">
      <c r="A163866" s="13" t="s">
        <v>31</v>
      </c>
    </row>
    <row r="163867" spans="1:1" x14ac:dyDescent="0.25">
      <c r="A163867" s="13" t="s">
        <v>87</v>
      </c>
    </row>
    <row r="163868" spans="1:1" x14ac:dyDescent="0.25">
      <c r="A163868" s="15" t="s">
        <v>30</v>
      </c>
    </row>
    <row r="163869" spans="1:1" x14ac:dyDescent="0.25">
      <c r="A163869" s="15" t="s">
        <v>26</v>
      </c>
    </row>
    <row r="163870" spans="1:1" x14ac:dyDescent="0.25">
      <c r="A163870" s="15" t="s">
        <v>27</v>
      </c>
    </row>
    <row r="163871" spans="1:1" x14ac:dyDescent="0.25">
      <c r="A163871" s="15" t="s">
        <v>28</v>
      </c>
    </row>
    <row r="163872" spans="1:1" x14ac:dyDescent="0.25">
      <c r="A163872" s="15" t="s">
        <v>89</v>
      </c>
    </row>
    <row r="163873" spans="1:1" x14ac:dyDescent="0.25">
      <c r="A163873" s="15" t="s">
        <v>90</v>
      </c>
    </row>
    <row r="163874" spans="1:1" x14ac:dyDescent="0.25">
      <c r="A163874" s="15" t="s">
        <v>185</v>
      </c>
    </row>
    <row r="163875" spans="1:1" x14ac:dyDescent="0.25">
      <c r="A163875" s="15" t="s">
        <v>186</v>
      </c>
    </row>
    <row r="163876" spans="1:1" x14ac:dyDescent="0.25">
      <c r="A163876" s="15" t="s">
        <v>187</v>
      </c>
    </row>
    <row r="163877" spans="1:1" x14ac:dyDescent="0.25">
      <c r="A163877" s="15" t="s">
        <v>188</v>
      </c>
    </row>
    <row r="163878" spans="1:1" x14ac:dyDescent="0.25">
      <c r="A163878" s="15" t="s">
        <v>189</v>
      </c>
    </row>
    <row r="163879" spans="1:1" x14ac:dyDescent="0.25">
      <c r="A163879" s="15" t="s">
        <v>190</v>
      </c>
    </row>
    <row r="163880" spans="1:1" x14ac:dyDescent="0.25">
      <c r="A163880" s="15" t="s">
        <v>191</v>
      </c>
    </row>
    <row r="163881" spans="1:1" x14ac:dyDescent="0.25">
      <c r="A163881" s="14" t="s">
        <v>47</v>
      </c>
    </row>
    <row r="163882" spans="1:1" x14ac:dyDescent="0.25">
      <c r="A163882" s="14" t="s">
        <v>119</v>
      </c>
    </row>
    <row r="163883" spans="1:1" x14ac:dyDescent="0.25">
      <c r="A163883" s="14" t="s">
        <v>86</v>
      </c>
    </row>
    <row r="163884" spans="1:1" x14ac:dyDescent="0.25">
      <c r="A163884" s="13" t="s">
        <v>21</v>
      </c>
    </row>
    <row r="163885" spans="1:1" x14ac:dyDescent="0.25">
      <c r="A163885" s="14" t="s">
        <v>92</v>
      </c>
    </row>
    <row r="163886" spans="1:1" x14ac:dyDescent="0.25">
      <c r="A163886" s="14" t="s">
        <v>93</v>
      </c>
    </row>
    <row r="163887" spans="1:1" x14ac:dyDescent="0.25">
      <c r="A163887" s="14" t="s">
        <v>99</v>
      </c>
    </row>
    <row r="163888" spans="1:1" x14ac:dyDescent="0.25">
      <c r="A163888" s="14" t="s">
        <v>100</v>
      </c>
    </row>
    <row r="163889" spans="1:1" x14ac:dyDescent="0.25">
      <c r="A163889" s="13" t="s">
        <v>24</v>
      </c>
    </row>
    <row r="163890" spans="1:1" x14ac:dyDescent="0.25">
      <c r="A163890" s="13" t="s">
        <v>83</v>
      </c>
    </row>
    <row r="163891" spans="1:1" x14ac:dyDescent="0.25">
      <c r="A163891" s="13" t="s">
        <v>106</v>
      </c>
    </row>
    <row r="163892" spans="1:1" x14ac:dyDescent="0.25">
      <c r="A163892" s="13" t="s">
        <v>101</v>
      </c>
    </row>
    <row r="163893" spans="1:1" x14ac:dyDescent="0.25">
      <c r="A163893" s="13" t="s">
        <v>102</v>
      </c>
    </row>
    <row r="163894" spans="1:1" x14ac:dyDescent="0.25">
      <c r="A163894" s="13" t="s">
        <v>103</v>
      </c>
    </row>
    <row r="163895" spans="1:1" x14ac:dyDescent="0.25">
      <c r="A163895" s="13" t="s">
        <v>104</v>
      </c>
    </row>
    <row r="163896" spans="1:1" x14ac:dyDescent="0.25">
      <c r="A163896" s="13" t="s">
        <v>105</v>
      </c>
    </row>
    <row r="180226" spans="1:1" x14ac:dyDescent="0.25">
      <c r="A180226" s="13" t="s">
        <v>0</v>
      </c>
    </row>
    <row r="180227" spans="1:1" x14ac:dyDescent="0.25">
      <c r="A180227" s="13" t="s">
        <v>125</v>
      </c>
    </row>
    <row r="180228" spans="1:1" x14ac:dyDescent="0.25">
      <c r="A180228" s="13" t="s">
        <v>1</v>
      </c>
    </row>
    <row r="180229" spans="1:1" x14ac:dyDescent="0.25">
      <c r="A180229" s="13" t="s">
        <v>2</v>
      </c>
    </row>
    <row r="180230" spans="1:1" x14ac:dyDescent="0.25">
      <c r="A180230" s="14" t="s">
        <v>25</v>
      </c>
    </row>
    <row r="180231" spans="1:1" x14ac:dyDescent="0.25">
      <c r="A180231" s="13" t="s">
        <v>126</v>
      </c>
    </row>
    <row r="180232" spans="1:1" x14ac:dyDescent="0.25">
      <c r="A180232" s="13" t="s">
        <v>127</v>
      </c>
    </row>
    <row r="180233" spans="1:1" x14ac:dyDescent="0.25">
      <c r="A180233" s="13" t="s">
        <v>88</v>
      </c>
    </row>
    <row r="180234" spans="1:1" x14ac:dyDescent="0.25">
      <c r="A180234" s="13" t="s">
        <v>22</v>
      </c>
    </row>
    <row r="180235" spans="1:1" x14ac:dyDescent="0.25">
      <c r="A180235" s="13" t="s">
        <v>3</v>
      </c>
    </row>
    <row r="180236" spans="1:1" x14ac:dyDescent="0.25">
      <c r="A180236" s="15" t="s">
        <v>95</v>
      </c>
    </row>
    <row r="180237" spans="1:1" x14ac:dyDescent="0.25">
      <c r="A180237" s="15" t="s">
        <v>94</v>
      </c>
    </row>
    <row r="180238" spans="1:1" x14ac:dyDescent="0.25">
      <c r="A180238" s="15" t="s">
        <v>4</v>
      </c>
    </row>
    <row r="180239" spans="1:1" x14ac:dyDescent="0.25">
      <c r="A180239" s="15" t="s">
        <v>118</v>
      </c>
    </row>
    <row r="180240" spans="1:1" x14ac:dyDescent="0.25">
      <c r="A180240" s="15" t="s">
        <v>5</v>
      </c>
    </row>
    <row r="180241" spans="1:1" x14ac:dyDescent="0.25">
      <c r="A180241" s="15" t="s">
        <v>6</v>
      </c>
    </row>
    <row r="180242" spans="1:1" x14ac:dyDescent="0.25">
      <c r="A180242" s="15" t="s">
        <v>7</v>
      </c>
    </row>
    <row r="180243" spans="1:1" x14ac:dyDescent="0.25">
      <c r="A180243" s="15" t="s">
        <v>8</v>
      </c>
    </row>
    <row r="180244" spans="1:1" x14ac:dyDescent="0.25">
      <c r="A180244" s="15" t="s">
        <v>9</v>
      </c>
    </row>
    <row r="180245" spans="1:1" x14ac:dyDescent="0.25">
      <c r="A180245" s="15" t="s">
        <v>10</v>
      </c>
    </row>
    <row r="180246" spans="1:1" x14ac:dyDescent="0.25">
      <c r="A180246" s="15" t="s">
        <v>11</v>
      </c>
    </row>
    <row r="180247" spans="1:1" x14ac:dyDescent="0.25">
      <c r="A180247" s="15" t="s">
        <v>12</v>
      </c>
    </row>
    <row r="180248" spans="1:1" x14ac:dyDescent="0.25">
      <c r="A180248" s="15" t="s">
        <v>13</v>
      </c>
    </row>
    <row r="180249" spans="1:1" x14ac:dyDescent="0.25">
      <c r="A180249" s="15" t="s">
        <v>14</v>
      </c>
    </row>
    <row r="180250" spans="1:1" x14ac:dyDescent="0.25">
      <c r="A180250" s="13" t="s">
        <v>31</v>
      </c>
    </row>
    <row r="180251" spans="1:1" x14ac:dyDescent="0.25">
      <c r="A180251" s="13" t="s">
        <v>87</v>
      </c>
    </row>
    <row r="180252" spans="1:1" x14ac:dyDescent="0.25">
      <c r="A180252" s="15" t="s">
        <v>30</v>
      </c>
    </row>
    <row r="180253" spans="1:1" x14ac:dyDescent="0.25">
      <c r="A180253" s="15" t="s">
        <v>26</v>
      </c>
    </row>
    <row r="180254" spans="1:1" x14ac:dyDescent="0.25">
      <c r="A180254" s="15" t="s">
        <v>27</v>
      </c>
    </row>
    <row r="180255" spans="1:1" x14ac:dyDescent="0.25">
      <c r="A180255" s="15" t="s">
        <v>28</v>
      </c>
    </row>
    <row r="180256" spans="1:1" x14ac:dyDescent="0.25">
      <c r="A180256" s="15" t="s">
        <v>89</v>
      </c>
    </row>
    <row r="180257" spans="1:1" x14ac:dyDescent="0.25">
      <c r="A180257" s="15" t="s">
        <v>90</v>
      </c>
    </row>
    <row r="180258" spans="1:1" x14ac:dyDescent="0.25">
      <c r="A180258" s="15" t="s">
        <v>185</v>
      </c>
    </row>
    <row r="180259" spans="1:1" x14ac:dyDescent="0.25">
      <c r="A180259" s="15" t="s">
        <v>186</v>
      </c>
    </row>
    <row r="180260" spans="1:1" x14ac:dyDescent="0.25">
      <c r="A180260" s="15" t="s">
        <v>187</v>
      </c>
    </row>
    <row r="180261" spans="1:1" x14ac:dyDescent="0.25">
      <c r="A180261" s="15" t="s">
        <v>188</v>
      </c>
    </row>
    <row r="180262" spans="1:1" x14ac:dyDescent="0.25">
      <c r="A180262" s="15" t="s">
        <v>189</v>
      </c>
    </row>
    <row r="180263" spans="1:1" x14ac:dyDescent="0.25">
      <c r="A180263" s="15" t="s">
        <v>190</v>
      </c>
    </row>
    <row r="180264" spans="1:1" x14ac:dyDescent="0.25">
      <c r="A180264" s="15" t="s">
        <v>191</v>
      </c>
    </row>
    <row r="180265" spans="1:1" x14ac:dyDescent="0.25">
      <c r="A180265" s="14" t="s">
        <v>47</v>
      </c>
    </row>
    <row r="180266" spans="1:1" x14ac:dyDescent="0.25">
      <c r="A180266" s="14" t="s">
        <v>119</v>
      </c>
    </row>
    <row r="180267" spans="1:1" x14ac:dyDescent="0.25">
      <c r="A180267" s="14" t="s">
        <v>86</v>
      </c>
    </row>
    <row r="180268" spans="1:1" x14ac:dyDescent="0.25">
      <c r="A180268" s="13" t="s">
        <v>21</v>
      </c>
    </row>
    <row r="180269" spans="1:1" x14ac:dyDescent="0.25">
      <c r="A180269" s="14" t="s">
        <v>92</v>
      </c>
    </row>
    <row r="180270" spans="1:1" x14ac:dyDescent="0.25">
      <c r="A180270" s="14" t="s">
        <v>93</v>
      </c>
    </row>
    <row r="180271" spans="1:1" x14ac:dyDescent="0.25">
      <c r="A180271" s="14" t="s">
        <v>99</v>
      </c>
    </row>
    <row r="180272" spans="1:1" x14ac:dyDescent="0.25">
      <c r="A180272" s="14" t="s">
        <v>100</v>
      </c>
    </row>
    <row r="180273" spans="1:1" x14ac:dyDescent="0.25">
      <c r="A180273" s="13" t="s">
        <v>24</v>
      </c>
    </row>
    <row r="180274" spans="1:1" x14ac:dyDescent="0.25">
      <c r="A180274" s="13" t="s">
        <v>83</v>
      </c>
    </row>
    <row r="180275" spans="1:1" x14ac:dyDescent="0.25">
      <c r="A180275" s="13" t="s">
        <v>106</v>
      </c>
    </row>
    <row r="180276" spans="1:1" x14ac:dyDescent="0.25">
      <c r="A180276" s="13" t="s">
        <v>101</v>
      </c>
    </row>
    <row r="180277" spans="1:1" x14ac:dyDescent="0.25">
      <c r="A180277" s="13" t="s">
        <v>102</v>
      </c>
    </row>
    <row r="180278" spans="1:1" x14ac:dyDescent="0.25">
      <c r="A180278" s="13" t="s">
        <v>103</v>
      </c>
    </row>
    <row r="180279" spans="1:1" x14ac:dyDescent="0.25">
      <c r="A180279" s="13" t="s">
        <v>104</v>
      </c>
    </row>
    <row r="180280" spans="1:1" x14ac:dyDescent="0.25">
      <c r="A180280" s="13" t="s">
        <v>105</v>
      </c>
    </row>
    <row r="196610" spans="1:1" x14ac:dyDescent="0.25">
      <c r="A196610" s="13" t="s">
        <v>0</v>
      </c>
    </row>
    <row r="196611" spans="1:1" x14ac:dyDescent="0.25">
      <c r="A196611" s="13" t="s">
        <v>125</v>
      </c>
    </row>
    <row r="196612" spans="1:1" x14ac:dyDescent="0.25">
      <c r="A196612" s="13" t="s">
        <v>1</v>
      </c>
    </row>
    <row r="196613" spans="1:1" x14ac:dyDescent="0.25">
      <c r="A196613" s="13" t="s">
        <v>2</v>
      </c>
    </row>
    <row r="196614" spans="1:1" x14ac:dyDescent="0.25">
      <c r="A196614" s="14" t="s">
        <v>25</v>
      </c>
    </row>
    <row r="196615" spans="1:1" x14ac:dyDescent="0.25">
      <c r="A196615" s="13" t="s">
        <v>126</v>
      </c>
    </row>
    <row r="196616" spans="1:1" x14ac:dyDescent="0.25">
      <c r="A196616" s="13" t="s">
        <v>127</v>
      </c>
    </row>
    <row r="196617" spans="1:1" x14ac:dyDescent="0.25">
      <c r="A196617" s="13" t="s">
        <v>88</v>
      </c>
    </row>
    <row r="196618" spans="1:1" x14ac:dyDescent="0.25">
      <c r="A196618" s="13" t="s">
        <v>22</v>
      </c>
    </row>
    <row r="196619" spans="1:1" x14ac:dyDescent="0.25">
      <c r="A196619" s="13" t="s">
        <v>3</v>
      </c>
    </row>
    <row r="196620" spans="1:1" x14ac:dyDescent="0.25">
      <c r="A196620" s="15" t="s">
        <v>95</v>
      </c>
    </row>
    <row r="196621" spans="1:1" x14ac:dyDescent="0.25">
      <c r="A196621" s="15" t="s">
        <v>94</v>
      </c>
    </row>
    <row r="196622" spans="1:1" x14ac:dyDescent="0.25">
      <c r="A196622" s="15" t="s">
        <v>4</v>
      </c>
    </row>
    <row r="196623" spans="1:1" x14ac:dyDescent="0.25">
      <c r="A196623" s="15" t="s">
        <v>118</v>
      </c>
    </row>
    <row r="196624" spans="1:1" x14ac:dyDescent="0.25">
      <c r="A196624" s="15" t="s">
        <v>5</v>
      </c>
    </row>
    <row r="196625" spans="1:1" x14ac:dyDescent="0.25">
      <c r="A196625" s="15" t="s">
        <v>6</v>
      </c>
    </row>
    <row r="196626" spans="1:1" x14ac:dyDescent="0.25">
      <c r="A196626" s="15" t="s">
        <v>7</v>
      </c>
    </row>
    <row r="196627" spans="1:1" x14ac:dyDescent="0.25">
      <c r="A196627" s="15" t="s">
        <v>8</v>
      </c>
    </row>
    <row r="196628" spans="1:1" x14ac:dyDescent="0.25">
      <c r="A196628" s="15" t="s">
        <v>9</v>
      </c>
    </row>
    <row r="196629" spans="1:1" x14ac:dyDescent="0.25">
      <c r="A196629" s="15" t="s">
        <v>10</v>
      </c>
    </row>
    <row r="196630" spans="1:1" x14ac:dyDescent="0.25">
      <c r="A196630" s="15" t="s">
        <v>11</v>
      </c>
    </row>
    <row r="196631" spans="1:1" x14ac:dyDescent="0.25">
      <c r="A196631" s="15" t="s">
        <v>12</v>
      </c>
    </row>
    <row r="196632" spans="1:1" x14ac:dyDescent="0.25">
      <c r="A196632" s="15" t="s">
        <v>13</v>
      </c>
    </row>
    <row r="196633" spans="1:1" x14ac:dyDescent="0.25">
      <c r="A196633" s="15" t="s">
        <v>14</v>
      </c>
    </row>
    <row r="196634" spans="1:1" x14ac:dyDescent="0.25">
      <c r="A196634" s="13" t="s">
        <v>31</v>
      </c>
    </row>
    <row r="196635" spans="1:1" x14ac:dyDescent="0.25">
      <c r="A196635" s="13" t="s">
        <v>87</v>
      </c>
    </row>
    <row r="196636" spans="1:1" x14ac:dyDescent="0.25">
      <c r="A196636" s="15" t="s">
        <v>30</v>
      </c>
    </row>
    <row r="196637" spans="1:1" x14ac:dyDescent="0.25">
      <c r="A196637" s="15" t="s">
        <v>26</v>
      </c>
    </row>
    <row r="196638" spans="1:1" x14ac:dyDescent="0.25">
      <c r="A196638" s="15" t="s">
        <v>27</v>
      </c>
    </row>
    <row r="196639" spans="1:1" x14ac:dyDescent="0.25">
      <c r="A196639" s="15" t="s">
        <v>28</v>
      </c>
    </row>
    <row r="196640" spans="1:1" x14ac:dyDescent="0.25">
      <c r="A196640" s="15" t="s">
        <v>89</v>
      </c>
    </row>
    <row r="196641" spans="1:1" x14ac:dyDescent="0.25">
      <c r="A196641" s="15" t="s">
        <v>90</v>
      </c>
    </row>
    <row r="196642" spans="1:1" x14ac:dyDescent="0.25">
      <c r="A196642" s="15" t="s">
        <v>185</v>
      </c>
    </row>
    <row r="196643" spans="1:1" x14ac:dyDescent="0.25">
      <c r="A196643" s="15" t="s">
        <v>186</v>
      </c>
    </row>
    <row r="196644" spans="1:1" x14ac:dyDescent="0.25">
      <c r="A196644" s="15" t="s">
        <v>187</v>
      </c>
    </row>
    <row r="196645" spans="1:1" x14ac:dyDescent="0.25">
      <c r="A196645" s="15" t="s">
        <v>188</v>
      </c>
    </row>
    <row r="196646" spans="1:1" x14ac:dyDescent="0.25">
      <c r="A196646" s="15" t="s">
        <v>189</v>
      </c>
    </row>
    <row r="196647" spans="1:1" x14ac:dyDescent="0.25">
      <c r="A196647" s="15" t="s">
        <v>190</v>
      </c>
    </row>
    <row r="196648" spans="1:1" x14ac:dyDescent="0.25">
      <c r="A196648" s="15" t="s">
        <v>191</v>
      </c>
    </row>
    <row r="196649" spans="1:1" x14ac:dyDescent="0.25">
      <c r="A196649" s="14" t="s">
        <v>47</v>
      </c>
    </row>
    <row r="196650" spans="1:1" x14ac:dyDescent="0.25">
      <c r="A196650" s="14" t="s">
        <v>119</v>
      </c>
    </row>
    <row r="196651" spans="1:1" x14ac:dyDescent="0.25">
      <c r="A196651" s="14" t="s">
        <v>86</v>
      </c>
    </row>
    <row r="196652" spans="1:1" x14ac:dyDescent="0.25">
      <c r="A196652" s="13" t="s">
        <v>21</v>
      </c>
    </row>
    <row r="196653" spans="1:1" x14ac:dyDescent="0.25">
      <c r="A196653" s="14" t="s">
        <v>92</v>
      </c>
    </row>
    <row r="196654" spans="1:1" x14ac:dyDescent="0.25">
      <c r="A196654" s="14" t="s">
        <v>93</v>
      </c>
    </row>
    <row r="196655" spans="1:1" x14ac:dyDescent="0.25">
      <c r="A196655" s="14" t="s">
        <v>99</v>
      </c>
    </row>
    <row r="196656" spans="1:1" x14ac:dyDescent="0.25">
      <c r="A196656" s="14" t="s">
        <v>100</v>
      </c>
    </row>
    <row r="196657" spans="1:1" x14ac:dyDescent="0.25">
      <c r="A196657" s="13" t="s">
        <v>24</v>
      </c>
    </row>
    <row r="196658" spans="1:1" x14ac:dyDescent="0.25">
      <c r="A196658" s="13" t="s">
        <v>83</v>
      </c>
    </row>
    <row r="196659" spans="1:1" x14ac:dyDescent="0.25">
      <c r="A196659" s="13" t="s">
        <v>106</v>
      </c>
    </row>
    <row r="196660" spans="1:1" x14ac:dyDescent="0.25">
      <c r="A196660" s="13" t="s">
        <v>101</v>
      </c>
    </row>
    <row r="196661" spans="1:1" x14ac:dyDescent="0.25">
      <c r="A196661" s="13" t="s">
        <v>102</v>
      </c>
    </row>
    <row r="196662" spans="1:1" x14ac:dyDescent="0.25">
      <c r="A196662" s="13" t="s">
        <v>103</v>
      </c>
    </row>
    <row r="196663" spans="1:1" x14ac:dyDescent="0.25">
      <c r="A196663" s="13" t="s">
        <v>104</v>
      </c>
    </row>
    <row r="196664" spans="1:1" x14ac:dyDescent="0.25">
      <c r="A196664" s="13" t="s">
        <v>105</v>
      </c>
    </row>
    <row r="212994" spans="1:1" x14ac:dyDescent="0.25">
      <c r="A212994" s="13" t="s">
        <v>0</v>
      </c>
    </row>
    <row r="212995" spans="1:1" x14ac:dyDescent="0.25">
      <c r="A212995" s="13" t="s">
        <v>125</v>
      </c>
    </row>
    <row r="212996" spans="1:1" x14ac:dyDescent="0.25">
      <c r="A212996" s="13" t="s">
        <v>1</v>
      </c>
    </row>
    <row r="212997" spans="1:1" x14ac:dyDescent="0.25">
      <c r="A212997" s="13" t="s">
        <v>2</v>
      </c>
    </row>
    <row r="212998" spans="1:1" x14ac:dyDescent="0.25">
      <c r="A212998" s="14" t="s">
        <v>25</v>
      </c>
    </row>
    <row r="212999" spans="1:1" x14ac:dyDescent="0.25">
      <c r="A212999" s="13" t="s">
        <v>126</v>
      </c>
    </row>
    <row r="213000" spans="1:1" x14ac:dyDescent="0.25">
      <c r="A213000" s="13" t="s">
        <v>127</v>
      </c>
    </row>
    <row r="213001" spans="1:1" x14ac:dyDescent="0.25">
      <c r="A213001" s="13" t="s">
        <v>88</v>
      </c>
    </row>
    <row r="213002" spans="1:1" x14ac:dyDescent="0.25">
      <c r="A213002" s="13" t="s">
        <v>22</v>
      </c>
    </row>
    <row r="213003" spans="1:1" x14ac:dyDescent="0.25">
      <c r="A213003" s="13" t="s">
        <v>3</v>
      </c>
    </row>
    <row r="213004" spans="1:1" x14ac:dyDescent="0.25">
      <c r="A213004" s="15" t="s">
        <v>95</v>
      </c>
    </row>
    <row r="213005" spans="1:1" x14ac:dyDescent="0.25">
      <c r="A213005" s="15" t="s">
        <v>94</v>
      </c>
    </row>
    <row r="213006" spans="1:1" x14ac:dyDescent="0.25">
      <c r="A213006" s="15" t="s">
        <v>4</v>
      </c>
    </row>
    <row r="213007" spans="1:1" x14ac:dyDescent="0.25">
      <c r="A213007" s="15" t="s">
        <v>118</v>
      </c>
    </row>
    <row r="213008" spans="1:1" x14ac:dyDescent="0.25">
      <c r="A213008" s="15" t="s">
        <v>5</v>
      </c>
    </row>
    <row r="213009" spans="1:1" x14ac:dyDescent="0.25">
      <c r="A213009" s="15" t="s">
        <v>6</v>
      </c>
    </row>
    <row r="213010" spans="1:1" x14ac:dyDescent="0.25">
      <c r="A213010" s="15" t="s">
        <v>7</v>
      </c>
    </row>
    <row r="213011" spans="1:1" x14ac:dyDescent="0.25">
      <c r="A213011" s="15" t="s">
        <v>8</v>
      </c>
    </row>
    <row r="213012" spans="1:1" x14ac:dyDescent="0.25">
      <c r="A213012" s="15" t="s">
        <v>9</v>
      </c>
    </row>
    <row r="213013" spans="1:1" x14ac:dyDescent="0.25">
      <c r="A213013" s="15" t="s">
        <v>10</v>
      </c>
    </row>
    <row r="213014" spans="1:1" x14ac:dyDescent="0.25">
      <c r="A213014" s="15" t="s">
        <v>11</v>
      </c>
    </row>
    <row r="213015" spans="1:1" x14ac:dyDescent="0.25">
      <c r="A213015" s="15" t="s">
        <v>12</v>
      </c>
    </row>
    <row r="213016" spans="1:1" x14ac:dyDescent="0.25">
      <c r="A213016" s="15" t="s">
        <v>13</v>
      </c>
    </row>
    <row r="213017" spans="1:1" x14ac:dyDescent="0.25">
      <c r="A213017" s="15" t="s">
        <v>14</v>
      </c>
    </row>
    <row r="213018" spans="1:1" x14ac:dyDescent="0.25">
      <c r="A213018" s="13" t="s">
        <v>31</v>
      </c>
    </row>
    <row r="213019" spans="1:1" x14ac:dyDescent="0.25">
      <c r="A213019" s="13" t="s">
        <v>87</v>
      </c>
    </row>
    <row r="213020" spans="1:1" x14ac:dyDescent="0.25">
      <c r="A213020" s="15" t="s">
        <v>30</v>
      </c>
    </row>
    <row r="213021" spans="1:1" x14ac:dyDescent="0.25">
      <c r="A213021" s="15" t="s">
        <v>26</v>
      </c>
    </row>
    <row r="213022" spans="1:1" x14ac:dyDescent="0.25">
      <c r="A213022" s="15" t="s">
        <v>27</v>
      </c>
    </row>
    <row r="213023" spans="1:1" x14ac:dyDescent="0.25">
      <c r="A213023" s="15" t="s">
        <v>28</v>
      </c>
    </row>
    <row r="213024" spans="1:1" x14ac:dyDescent="0.25">
      <c r="A213024" s="15" t="s">
        <v>89</v>
      </c>
    </row>
    <row r="213025" spans="1:1" x14ac:dyDescent="0.25">
      <c r="A213025" s="15" t="s">
        <v>90</v>
      </c>
    </row>
    <row r="213026" spans="1:1" x14ac:dyDescent="0.25">
      <c r="A213026" s="15" t="s">
        <v>185</v>
      </c>
    </row>
    <row r="213027" spans="1:1" x14ac:dyDescent="0.25">
      <c r="A213027" s="15" t="s">
        <v>186</v>
      </c>
    </row>
    <row r="213028" spans="1:1" x14ac:dyDescent="0.25">
      <c r="A213028" s="15" t="s">
        <v>187</v>
      </c>
    </row>
    <row r="213029" spans="1:1" x14ac:dyDescent="0.25">
      <c r="A213029" s="15" t="s">
        <v>188</v>
      </c>
    </row>
    <row r="213030" spans="1:1" x14ac:dyDescent="0.25">
      <c r="A213030" s="15" t="s">
        <v>189</v>
      </c>
    </row>
    <row r="213031" spans="1:1" x14ac:dyDescent="0.25">
      <c r="A213031" s="15" t="s">
        <v>190</v>
      </c>
    </row>
    <row r="213032" spans="1:1" x14ac:dyDescent="0.25">
      <c r="A213032" s="15" t="s">
        <v>191</v>
      </c>
    </row>
    <row r="213033" spans="1:1" x14ac:dyDescent="0.25">
      <c r="A213033" s="14" t="s">
        <v>47</v>
      </c>
    </row>
    <row r="213034" spans="1:1" x14ac:dyDescent="0.25">
      <c r="A213034" s="14" t="s">
        <v>119</v>
      </c>
    </row>
    <row r="213035" spans="1:1" x14ac:dyDescent="0.25">
      <c r="A213035" s="14" t="s">
        <v>86</v>
      </c>
    </row>
    <row r="213036" spans="1:1" x14ac:dyDescent="0.25">
      <c r="A213036" s="13" t="s">
        <v>21</v>
      </c>
    </row>
    <row r="213037" spans="1:1" x14ac:dyDescent="0.25">
      <c r="A213037" s="14" t="s">
        <v>92</v>
      </c>
    </row>
    <row r="213038" spans="1:1" x14ac:dyDescent="0.25">
      <c r="A213038" s="14" t="s">
        <v>93</v>
      </c>
    </row>
    <row r="213039" spans="1:1" x14ac:dyDescent="0.25">
      <c r="A213039" s="14" t="s">
        <v>99</v>
      </c>
    </row>
    <row r="213040" spans="1:1" x14ac:dyDescent="0.25">
      <c r="A213040" s="14" t="s">
        <v>100</v>
      </c>
    </row>
    <row r="213041" spans="1:1" x14ac:dyDescent="0.25">
      <c r="A213041" s="13" t="s">
        <v>24</v>
      </c>
    </row>
    <row r="213042" spans="1:1" x14ac:dyDescent="0.25">
      <c r="A213042" s="13" t="s">
        <v>83</v>
      </c>
    </row>
    <row r="213043" spans="1:1" x14ac:dyDescent="0.25">
      <c r="A213043" s="13" t="s">
        <v>106</v>
      </c>
    </row>
    <row r="213044" spans="1:1" x14ac:dyDescent="0.25">
      <c r="A213044" s="13" t="s">
        <v>101</v>
      </c>
    </row>
    <row r="213045" spans="1:1" x14ac:dyDescent="0.25">
      <c r="A213045" s="13" t="s">
        <v>102</v>
      </c>
    </row>
    <row r="213046" spans="1:1" x14ac:dyDescent="0.25">
      <c r="A213046" s="13" t="s">
        <v>103</v>
      </c>
    </row>
    <row r="213047" spans="1:1" x14ac:dyDescent="0.25">
      <c r="A213047" s="13" t="s">
        <v>104</v>
      </c>
    </row>
    <row r="213048" spans="1:1" x14ac:dyDescent="0.25">
      <c r="A213048" s="13" t="s">
        <v>105</v>
      </c>
    </row>
    <row r="229378" spans="1:1" x14ac:dyDescent="0.25">
      <c r="A229378" s="13" t="s">
        <v>0</v>
      </c>
    </row>
    <row r="229379" spans="1:1" x14ac:dyDescent="0.25">
      <c r="A229379" s="13" t="s">
        <v>125</v>
      </c>
    </row>
    <row r="229380" spans="1:1" x14ac:dyDescent="0.25">
      <c r="A229380" s="13" t="s">
        <v>1</v>
      </c>
    </row>
    <row r="229381" spans="1:1" x14ac:dyDescent="0.25">
      <c r="A229381" s="13" t="s">
        <v>2</v>
      </c>
    </row>
    <row r="229382" spans="1:1" x14ac:dyDescent="0.25">
      <c r="A229382" s="14" t="s">
        <v>25</v>
      </c>
    </row>
    <row r="229383" spans="1:1" x14ac:dyDescent="0.25">
      <c r="A229383" s="13" t="s">
        <v>126</v>
      </c>
    </row>
    <row r="229384" spans="1:1" x14ac:dyDescent="0.25">
      <c r="A229384" s="13" t="s">
        <v>127</v>
      </c>
    </row>
    <row r="229385" spans="1:1" x14ac:dyDescent="0.25">
      <c r="A229385" s="13" t="s">
        <v>88</v>
      </c>
    </row>
    <row r="229386" spans="1:1" x14ac:dyDescent="0.25">
      <c r="A229386" s="13" t="s">
        <v>22</v>
      </c>
    </row>
    <row r="229387" spans="1:1" x14ac:dyDescent="0.25">
      <c r="A229387" s="13" t="s">
        <v>3</v>
      </c>
    </row>
    <row r="229388" spans="1:1" x14ac:dyDescent="0.25">
      <c r="A229388" s="15" t="s">
        <v>95</v>
      </c>
    </row>
    <row r="229389" spans="1:1" x14ac:dyDescent="0.25">
      <c r="A229389" s="15" t="s">
        <v>94</v>
      </c>
    </row>
    <row r="229390" spans="1:1" x14ac:dyDescent="0.25">
      <c r="A229390" s="15" t="s">
        <v>4</v>
      </c>
    </row>
    <row r="229391" spans="1:1" x14ac:dyDescent="0.25">
      <c r="A229391" s="15" t="s">
        <v>118</v>
      </c>
    </row>
    <row r="229392" spans="1:1" x14ac:dyDescent="0.25">
      <c r="A229392" s="15" t="s">
        <v>5</v>
      </c>
    </row>
    <row r="229393" spans="1:1" x14ac:dyDescent="0.25">
      <c r="A229393" s="15" t="s">
        <v>6</v>
      </c>
    </row>
    <row r="229394" spans="1:1" x14ac:dyDescent="0.25">
      <c r="A229394" s="15" t="s">
        <v>7</v>
      </c>
    </row>
    <row r="229395" spans="1:1" x14ac:dyDescent="0.25">
      <c r="A229395" s="15" t="s">
        <v>8</v>
      </c>
    </row>
    <row r="229396" spans="1:1" x14ac:dyDescent="0.25">
      <c r="A229396" s="15" t="s">
        <v>9</v>
      </c>
    </row>
    <row r="229397" spans="1:1" x14ac:dyDescent="0.25">
      <c r="A229397" s="15" t="s">
        <v>10</v>
      </c>
    </row>
    <row r="229398" spans="1:1" x14ac:dyDescent="0.25">
      <c r="A229398" s="15" t="s">
        <v>11</v>
      </c>
    </row>
    <row r="229399" spans="1:1" x14ac:dyDescent="0.25">
      <c r="A229399" s="15" t="s">
        <v>12</v>
      </c>
    </row>
    <row r="229400" spans="1:1" x14ac:dyDescent="0.25">
      <c r="A229400" s="15" t="s">
        <v>13</v>
      </c>
    </row>
    <row r="229401" spans="1:1" x14ac:dyDescent="0.25">
      <c r="A229401" s="15" t="s">
        <v>14</v>
      </c>
    </row>
    <row r="229402" spans="1:1" x14ac:dyDescent="0.25">
      <c r="A229402" s="13" t="s">
        <v>31</v>
      </c>
    </row>
    <row r="229403" spans="1:1" x14ac:dyDescent="0.25">
      <c r="A229403" s="13" t="s">
        <v>87</v>
      </c>
    </row>
    <row r="229404" spans="1:1" x14ac:dyDescent="0.25">
      <c r="A229404" s="15" t="s">
        <v>30</v>
      </c>
    </row>
    <row r="229405" spans="1:1" x14ac:dyDescent="0.25">
      <c r="A229405" s="15" t="s">
        <v>26</v>
      </c>
    </row>
    <row r="229406" spans="1:1" x14ac:dyDescent="0.25">
      <c r="A229406" s="15" t="s">
        <v>27</v>
      </c>
    </row>
    <row r="229407" spans="1:1" x14ac:dyDescent="0.25">
      <c r="A229407" s="15" t="s">
        <v>28</v>
      </c>
    </row>
    <row r="229408" spans="1:1" x14ac:dyDescent="0.25">
      <c r="A229408" s="15" t="s">
        <v>89</v>
      </c>
    </row>
    <row r="229409" spans="1:1" x14ac:dyDescent="0.25">
      <c r="A229409" s="15" t="s">
        <v>90</v>
      </c>
    </row>
    <row r="229410" spans="1:1" x14ac:dyDescent="0.25">
      <c r="A229410" s="15" t="s">
        <v>185</v>
      </c>
    </row>
    <row r="229411" spans="1:1" x14ac:dyDescent="0.25">
      <c r="A229411" s="15" t="s">
        <v>186</v>
      </c>
    </row>
    <row r="229412" spans="1:1" x14ac:dyDescent="0.25">
      <c r="A229412" s="15" t="s">
        <v>187</v>
      </c>
    </row>
    <row r="229413" spans="1:1" x14ac:dyDescent="0.25">
      <c r="A229413" s="15" t="s">
        <v>188</v>
      </c>
    </row>
    <row r="229414" spans="1:1" x14ac:dyDescent="0.25">
      <c r="A229414" s="15" t="s">
        <v>189</v>
      </c>
    </row>
    <row r="229415" spans="1:1" x14ac:dyDescent="0.25">
      <c r="A229415" s="15" t="s">
        <v>190</v>
      </c>
    </row>
    <row r="229416" spans="1:1" x14ac:dyDescent="0.25">
      <c r="A229416" s="15" t="s">
        <v>191</v>
      </c>
    </row>
    <row r="229417" spans="1:1" x14ac:dyDescent="0.25">
      <c r="A229417" s="14" t="s">
        <v>47</v>
      </c>
    </row>
    <row r="229418" spans="1:1" x14ac:dyDescent="0.25">
      <c r="A229418" s="14" t="s">
        <v>119</v>
      </c>
    </row>
    <row r="229419" spans="1:1" x14ac:dyDescent="0.25">
      <c r="A229419" s="14" t="s">
        <v>86</v>
      </c>
    </row>
    <row r="229420" spans="1:1" x14ac:dyDescent="0.25">
      <c r="A229420" s="13" t="s">
        <v>21</v>
      </c>
    </row>
    <row r="229421" spans="1:1" x14ac:dyDescent="0.25">
      <c r="A229421" s="14" t="s">
        <v>92</v>
      </c>
    </row>
    <row r="229422" spans="1:1" x14ac:dyDescent="0.25">
      <c r="A229422" s="14" t="s">
        <v>93</v>
      </c>
    </row>
    <row r="229423" spans="1:1" x14ac:dyDescent="0.25">
      <c r="A229423" s="14" t="s">
        <v>99</v>
      </c>
    </row>
    <row r="229424" spans="1:1" x14ac:dyDescent="0.25">
      <c r="A229424" s="14" t="s">
        <v>100</v>
      </c>
    </row>
    <row r="229425" spans="1:1" x14ac:dyDescent="0.25">
      <c r="A229425" s="13" t="s">
        <v>24</v>
      </c>
    </row>
    <row r="229426" spans="1:1" x14ac:dyDescent="0.25">
      <c r="A229426" s="13" t="s">
        <v>83</v>
      </c>
    </row>
    <row r="229427" spans="1:1" x14ac:dyDescent="0.25">
      <c r="A229427" s="13" t="s">
        <v>106</v>
      </c>
    </row>
    <row r="229428" spans="1:1" x14ac:dyDescent="0.25">
      <c r="A229428" s="13" t="s">
        <v>101</v>
      </c>
    </row>
    <row r="229429" spans="1:1" x14ac:dyDescent="0.25">
      <c r="A229429" s="13" t="s">
        <v>102</v>
      </c>
    </row>
    <row r="229430" spans="1:1" x14ac:dyDescent="0.25">
      <c r="A229430" s="13" t="s">
        <v>103</v>
      </c>
    </row>
    <row r="229431" spans="1:1" x14ac:dyDescent="0.25">
      <c r="A229431" s="13" t="s">
        <v>104</v>
      </c>
    </row>
    <row r="229432" spans="1:1" x14ac:dyDescent="0.25">
      <c r="A229432" s="13" t="s">
        <v>105</v>
      </c>
    </row>
    <row r="245762" spans="1:1" x14ac:dyDescent="0.25">
      <c r="A245762" s="13" t="s">
        <v>0</v>
      </c>
    </row>
    <row r="245763" spans="1:1" x14ac:dyDescent="0.25">
      <c r="A245763" s="13" t="s">
        <v>125</v>
      </c>
    </row>
    <row r="245764" spans="1:1" x14ac:dyDescent="0.25">
      <c r="A245764" s="13" t="s">
        <v>1</v>
      </c>
    </row>
    <row r="245765" spans="1:1" x14ac:dyDescent="0.25">
      <c r="A245765" s="13" t="s">
        <v>2</v>
      </c>
    </row>
    <row r="245766" spans="1:1" x14ac:dyDescent="0.25">
      <c r="A245766" s="14" t="s">
        <v>25</v>
      </c>
    </row>
    <row r="245767" spans="1:1" x14ac:dyDescent="0.25">
      <c r="A245767" s="13" t="s">
        <v>126</v>
      </c>
    </row>
    <row r="245768" spans="1:1" x14ac:dyDescent="0.25">
      <c r="A245768" s="13" t="s">
        <v>127</v>
      </c>
    </row>
    <row r="245769" spans="1:1" x14ac:dyDescent="0.25">
      <c r="A245769" s="13" t="s">
        <v>88</v>
      </c>
    </row>
    <row r="245770" spans="1:1" x14ac:dyDescent="0.25">
      <c r="A245770" s="13" t="s">
        <v>22</v>
      </c>
    </row>
    <row r="245771" spans="1:1" x14ac:dyDescent="0.25">
      <c r="A245771" s="13" t="s">
        <v>3</v>
      </c>
    </row>
    <row r="245772" spans="1:1" x14ac:dyDescent="0.25">
      <c r="A245772" s="15" t="s">
        <v>95</v>
      </c>
    </row>
    <row r="245773" spans="1:1" x14ac:dyDescent="0.25">
      <c r="A245773" s="15" t="s">
        <v>94</v>
      </c>
    </row>
    <row r="245774" spans="1:1" x14ac:dyDescent="0.25">
      <c r="A245774" s="15" t="s">
        <v>4</v>
      </c>
    </row>
    <row r="245775" spans="1:1" x14ac:dyDescent="0.25">
      <c r="A245775" s="15" t="s">
        <v>118</v>
      </c>
    </row>
    <row r="245776" spans="1:1" x14ac:dyDescent="0.25">
      <c r="A245776" s="15" t="s">
        <v>5</v>
      </c>
    </row>
    <row r="245777" spans="1:1" x14ac:dyDescent="0.25">
      <c r="A245777" s="15" t="s">
        <v>6</v>
      </c>
    </row>
    <row r="245778" spans="1:1" x14ac:dyDescent="0.25">
      <c r="A245778" s="15" t="s">
        <v>7</v>
      </c>
    </row>
    <row r="245779" spans="1:1" x14ac:dyDescent="0.25">
      <c r="A245779" s="15" t="s">
        <v>8</v>
      </c>
    </row>
    <row r="245780" spans="1:1" x14ac:dyDescent="0.25">
      <c r="A245780" s="15" t="s">
        <v>9</v>
      </c>
    </row>
    <row r="245781" spans="1:1" x14ac:dyDescent="0.25">
      <c r="A245781" s="15" t="s">
        <v>10</v>
      </c>
    </row>
    <row r="245782" spans="1:1" x14ac:dyDescent="0.25">
      <c r="A245782" s="15" t="s">
        <v>11</v>
      </c>
    </row>
    <row r="245783" spans="1:1" x14ac:dyDescent="0.25">
      <c r="A245783" s="15" t="s">
        <v>12</v>
      </c>
    </row>
    <row r="245784" spans="1:1" x14ac:dyDescent="0.25">
      <c r="A245784" s="15" t="s">
        <v>13</v>
      </c>
    </row>
    <row r="245785" spans="1:1" x14ac:dyDescent="0.25">
      <c r="A245785" s="15" t="s">
        <v>14</v>
      </c>
    </row>
    <row r="245786" spans="1:1" x14ac:dyDescent="0.25">
      <c r="A245786" s="13" t="s">
        <v>31</v>
      </c>
    </row>
    <row r="245787" spans="1:1" x14ac:dyDescent="0.25">
      <c r="A245787" s="13" t="s">
        <v>87</v>
      </c>
    </row>
    <row r="245788" spans="1:1" x14ac:dyDescent="0.25">
      <c r="A245788" s="15" t="s">
        <v>30</v>
      </c>
    </row>
    <row r="245789" spans="1:1" x14ac:dyDescent="0.25">
      <c r="A245789" s="15" t="s">
        <v>26</v>
      </c>
    </row>
    <row r="245790" spans="1:1" x14ac:dyDescent="0.25">
      <c r="A245790" s="15" t="s">
        <v>27</v>
      </c>
    </row>
    <row r="245791" spans="1:1" x14ac:dyDescent="0.25">
      <c r="A245791" s="15" t="s">
        <v>28</v>
      </c>
    </row>
    <row r="245792" spans="1:1" x14ac:dyDescent="0.25">
      <c r="A245792" s="15" t="s">
        <v>89</v>
      </c>
    </row>
    <row r="245793" spans="1:1" x14ac:dyDescent="0.25">
      <c r="A245793" s="15" t="s">
        <v>90</v>
      </c>
    </row>
    <row r="245794" spans="1:1" x14ac:dyDescent="0.25">
      <c r="A245794" s="15" t="s">
        <v>185</v>
      </c>
    </row>
    <row r="245795" spans="1:1" x14ac:dyDescent="0.25">
      <c r="A245795" s="15" t="s">
        <v>186</v>
      </c>
    </row>
    <row r="245796" spans="1:1" x14ac:dyDescent="0.25">
      <c r="A245796" s="15" t="s">
        <v>187</v>
      </c>
    </row>
    <row r="245797" spans="1:1" x14ac:dyDescent="0.25">
      <c r="A245797" s="15" t="s">
        <v>188</v>
      </c>
    </row>
    <row r="245798" spans="1:1" x14ac:dyDescent="0.25">
      <c r="A245798" s="15" t="s">
        <v>189</v>
      </c>
    </row>
    <row r="245799" spans="1:1" x14ac:dyDescent="0.25">
      <c r="A245799" s="15" t="s">
        <v>190</v>
      </c>
    </row>
    <row r="245800" spans="1:1" x14ac:dyDescent="0.25">
      <c r="A245800" s="15" t="s">
        <v>191</v>
      </c>
    </row>
    <row r="245801" spans="1:1" x14ac:dyDescent="0.25">
      <c r="A245801" s="14" t="s">
        <v>47</v>
      </c>
    </row>
    <row r="245802" spans="1:1" x14ac:dyDescent="0.25">
      <c r="A245802" s="14" t="s">
        <v>119</v>
      </c>
    </row>
    <row r="245803" spans="1:1" x14ac:dyDescent="0.25">
      <c r="A245803" s="14" t="s">
        <v>86</v>
      </c>
    </row>
    <row r="245804" spans="1:1" x14ac:dyDescent="0.25">
      <c r="A245804" s="13" t="s">
        <v>21</v>
      </c>
    </row>
    <row r="245805" spans="1:1" x14ac:dyDescent="0.25">
      <c r="A245805" s="14" t="s">
        <v>92</v>
      </c>
    </row>
    <row r="245806" spans="1:1" x14ac:dyDescent="0.25">
      <c r="A245806" s="14" t="s">
        <v>93</v>
      </c>
    </row>
    <row r="245807" spans="1:1" x14ac:dyDescent="0.25">
      <c r="A245807" s="14" t="s">
        <v>99</v>
      </c>
    </row>
    <row r="245808" spans="1:1" x14ac:dyDescent="0.25">
      <c r="A245808" s="14" t="s">
        <v>100</v>
      </c>
    </row>
    <row r="245809" spans="1:1" x14ac:dyDescent="0.25">
      <c r="A245809" s="13" t="s">
        <v>24</v>
      </c>
    </row>
    <row r="245810" spans="1:1" x14ac:dyDescent="0.25">
      <c r="A245810" s="13" t="s">
        <v>83</v>
      </c>
    </row>
    <row r="245811" spans="1:1" x14ac:dyDescent="0.25">
      <c r="A245811" s="13" t="s">
        <v>106</v>
      </c>
    </row>
    <row r="245812" spans="1:1" x14ac:dyDescent="0.25">
      <c r="A245812" s="13" t="s">
        <v>101</v>
      </c>
    </row>
    <row r="245813" spans="1:1" x14ac:dyDescent="0.25">
      <c r="A245813" s="13" t="s">
        <v>102</v>
      </c>
    </row>
    <row r="245814" spans="1:1" x14ac:dyDescent="0.25">
      <c r="A245814" s="13" t="s">
        <v>103</v>
      </c>
    </row>
    <row r="245815" spans="1:1" x14ac:dyDescent="0.25">
      <c r="A245815" s="13" t="s">
        <v>104</v>
      </c>
    </row>
    <row r="245816" spans="1:1" x14ac:dyDescent="0.25">
      <c r="A245816" s="13" t="s">
        <v>105</v>
      </c>
    </row>
    <row r="262146" spans="1:1" x14ac:dyDescent="0.25">
      <c r="A262146" s="13" t="s">
        <v>0</v>
      </c>
    </row>
    <row r="262147" spans="1:1" x14ac:dyDescent="0.25">
      <c r="A262147" s="13" t="s">
        <v>125</v>
      </c>
    </row>
    <row r="262148" spans="1:1" x14ac:dyDescent="0.25">
      <c r="A262148" s="13" t="s">
        <v>1</v>
      </c>
    </row>
    <row r="262149" spans="1:1" x14ac:dyDescent="0.25">
      <c r="A262149" s="13" t="s">
        <v>2</v>
      </c>
    </row>
    <row r="262150" spans="1:1" x14ac:dyDescent="0.25">
      <c r="A262150" s="14" t="s">
        <v>25</v>
      </c>
    </row>
    <row r="262151" spans="1:1" x14ac:dyDescent="0.25">
      <c r="A262151" s="13" t="s">
        <v>126</v>
      </c>
    </row>
    <row r="262152" spans="1:1" x14ac:dyDescent="0.25">
      <c r="A262152" s="13" t="s">
        <v>127</v>
      </c>
    </row>
    <row r="262153" spans="1:1" x14ac:dyDescent="0.25">
      <c r="A262153" s="13" t="s">
        <v>88</v>
      </c>
    </row>
    <row r="262154" spans="1:1" x14ac:dyDescent="0.25">
      <c r="A262154" s="13" t="s">
        <v>22</v>
      </c>
    </row>
    <row r="262155" spans="1:1" x14ac:dyDescent="0.25">
      <c r="A262155" s="13" t="s">
        <v>3</v>
      </c>
    </row>
    <row r="262156" spans="1:1" x14ac:dyDescent="0.25">
      <c r="A262156" s="15" t="s">
        <v>95</v>
      </c>
    </row>
    <row r="262157" spans="1:1" x14ac:dyDescent="0.25">
      <c r="A262157" s="15" t="s">
        <v>94</v>
      </c>
    </row>
    <row r="262158" spans="1:1" x14ac:dyDescent="0.25">
      <c r="A262158" s="15" t="s">
        <v>4</v>
      </c>
    </row>
    <row r="262159" spans="1:1" x14ac:dyDescent="0.25">
      <c r="A262159" s="15" t="s">
        <v>118</v>
      </c>
    </row>
    <row r="262160" spans="1:1" x14ac:dyDescent="0.25">
      <c r="A262160" s="15" t="s">
        <v>5</v>
      </c>
    </row>
    <row r="262161" spans="1:1" x14ac:dyDescent="0.25">
      <c r="A262161" s="15" t="s">
        <v>6</v>
      </c>
    </row>
    <row r="262162" spans="1:1" x14ac:dyDescent="0.25">
      <c r="A262162" s="15" t="s">
        <v>7</v>
      </c>
    </row>
    <row r="262163" spans="1:1" x14ac:dyDescent="0.25">
      <c r="A262163" s="15" t="s">
        <v>8</v>
      </c>
    </row>
    <row r="262164" spans="1:1" x14ac:dyDescent="0.25">
      <c r="A262164" s="15" t="s">
        <v>9</v>
      </c>
    </row>
    <row r="262165" spans="1:1" x14ac:dyDescent="0.25">
      <c r="A262165" s="15" t="s">
        <v>10</v>
      </c>
    </row>
    <row r="262166" spans="1:1" x14ac:dyDescent="0.25">
      <c r="A262166" s="15" t="s">
        <v>11</v>
      </c>
    </row>
    <row r="262167" spans="1:1" x14ac:dyDescent="0.25">
      <c r="A262167" s="15" t="s">
        <v>12</v>
      </c>
    </row>
    <row r="262168" spans="1:1" x14ac:dyDescent="0.25">
      <c r="A262168" s="15" t="s">
        <v>13</v>
      </c>
    </row>
    <row r="262169" spans="1:1" x14ac:dyDescent="0.25">
      <c r="A262169" s="15" t="s">
        <v>14</v>
      </c>
    </row>
    <row r="262170" spans="1:1" x14ac:dyDescent="0.25">
      <c r="A262170" s="13" t="s">
        <v>31</v>
      </c>
    </row>
    <row r="262171" spans="1:1" x14ac:dyDescent="0.25">
      <c r="A262171" s="13" t="s">
        <v>87</v>
      </c>
    </row>
    <row r="262172" spans="1:1" x14ac:dyDescent="0.25">
      <c r="A262172" s="15" t="s">
        <v>30</v>
      </c>
    </row>
    <row r="262173" spans="1:1" x14ac:dyDescent="0.25">
      <c r="A262173" s="15" t="s">
        <v>26</v>
      </c>
    </row>
    <row r="262174" spans="1:1" x14ac:dyDescent="0.25">
      <c r="A262174" s="15" t="s">
        <v>27</v>
      </c>
    </row>
    <row r="262175" spans="1:1" x14ac:dyDescent="0.25">
      <c r="A262175" s="15" t="s">
        <v>28</v>
      </c>
    </row>
    <row r="262176" spans="1:1" x14ac:dyDescent="0.25">
      <c r="A262176" s="15" t="s">
        <v>89</v>
      </c>
    </row>
    <row r="262177" spans="1:1" x14ac:dyDescent="0.25">
      <c r="A262177" s="15" t="s">
        <v>90</v>
      </c>
    </row>
    <row r="262178" spans="1:1" x14ac:dyDescent="0.25">
      <c r="A262178" s="15" t="s">
        <v>185</v>
      </c>
    </row>
    <row r="262179" spans="1:1" x14ac:dyDescent="0.25">
      <c r="A262179" s="15" t="s">
        <v>186</v>
      </c>
    </row>
    <row r="262180" spans="1:1" x14ac:dyDescent="0.25">
      <c r="A262180" s="15" t="s">
        <v>187</v>
      </c>
    </row>
    <row r="262181" spans="1:1" x14ac:dyDescent="0.25">
      <c r="A262181" s="15" t="s">
        <v>188</v>
      </c>
    </row>
    <row r="262182" spans="1:1" x14ac:dyDescent="0.25">
      <c r="A262182" s="15" t="s">
        <v>189</v>
      </c>
    </row>
    <row r="262183" spans="1:1" x14ac:dyDescent="0.25">
      <c r="A262183" s="15" t="s">
        <v>190</v>
      </c>
    </row>
    <row r="262184" spans="1:1" x14ac:dyDescent="0.25">
      <c r="A262184" s="15" t="s">
        <v>191</v>
      </c>
    </row>
    <row r="262185" spans="1:1" x14ac:dyDescent="0.25">
      <c r="A262185" s="14" t="s">
        <v>47</v>
      </c>
    </row>
    <row r="262186" spans="1:1" x14ac:dyDescent="0.25">
      <c r="A262186" s="14" t="s">
        <v>119</v>
      </c>
    </row>
    <row r="262187" spans="1:1" x14ac:dyDescent="0.25">
      <c r="A262187" s="14" t="s">
        <v>86</v>
      </c>
    </row>
    <row r="262188" spans="1:1" x14ac:dyDescent="0.25">
      <c r="A262188" s="13" t="s">
        <v>21</v>
      </c>
    </row>
    <row r="262189" spans="1:1" x14ac:dyDescent="0.25">
      <c r="A262189" s="14" t="s">
        <v>92</v>
      </c>
    </row>
    <row r="262190" spans="1:1" x14ac:dyDescent="0.25">
      <c r="A262190" s="14" t="s">
        <v>93</v>
      </c>
    </row>
    <row r="262191" spans="1:1" x14ac:dyDescent="0.25">
      <c r="A262191" s="14" t="s">
        <v>99</v>
      </c>
    </row>
    <row r="262192" spans="1:1" x14ac:dyDescent="0.25">
      <c r="A262192" s="14" t="s">
        <v>100</v>
      </c>
    </row>
    <row r="262193" spans="1:1" x14ac:dyDescent="0.25">
      <c r="A262193" s="13" t="s">
        <v>24</v>
      </c>
    </row>
    <row r="262194" spans="1:1" x14ac:dyDescent="0.25">
      <c r="A262194" s="13" t="s">
        <v>83</v>
      </c>
    </row>
    <row r="262195" spans="1:1" x14ac:dyDescent="0.25">
      <c r="A262195" s="13" t="s">
        <v>106</v>
      </c>
    </row>
    <row r="262196" spans="1:1" x14ac:dyDescent="0.25">
      <c r="A262196" s="13" t="s">
        <v>101</v>
      </c>
    </row>
    <row r="262197" spans="1:1" x14ac:dyDescent="0.25">
      <c r="A262197" s="13" t="s">
        <v>102</v>
      </c>
    </row>
    <row r="262198" spans="1:1" x14ac:dyDescent="0.25">
      <c r="A262198" s="13" t="s">
        <v>103</v>
      </c>
    </row>
    <row r="262199" spans="1:1" x14ac:dyDescent="0.25">
      <c r="A262199" s="13" t="s">
        <v>104</v>
      </c>
    </row>
    <row r="262200" spans="1:1" x14ac:dyDescent="0.25">
      <c r="A262200" s="13" t="s">
        <v>105</v>
      </c>
    </row>
    <row r="278530" spans="1:1" x14ac:dyDescent="0.25">
      <c r="A278530" s="13" t="s">
        <v>0</v>
      </c>
    </row>
    <row r="278531" spans="1:1" x14ac:dyDescent="0.25">
      <c r="A278531" s="13" t="s">
        <v>125</v>
      </c>
    </row>
    <row r="278532" spans="1:1" x14ac:dyDescent="0.25">
      <c r="A278532" s="13" t="s">
        <v>1</v>
      </c>
    </row>
    <row r="278533" spans="1:1" x14ac:dyDescent="0.25">
      <c r="A278533" s="13" t="s">
        <v>2</v>
      </c>
    </row>
    <row r="278534" spans="1:1" x14ac:dyDescent="0.25">
      <c r="A278534" s="14" t="s">
        <v>25</v>
      </c>
    </row>
    <row r="278535" spans="1:1" x14ac:dyDescent="0.25">
      <c r="A278535" s="13" t="s">
        <v>126</v>
      </c>
    </row>
    <row r="278536" spans="1:1" x14ac:dyDescent="0.25">
      <c r="A278536" s="13" t="s">
        <v>127</v>
      </c>
    </row>
    <row r="278537" spans="1:1" x14ac:dyDescent="0.25">
      <c r="A278537" s="13" t="s">
        <v>88</v>
      </c>
    </row>
    <row r="278538" spans="1:1" x14ac:dyDescent="0.25">
      <c r="A278538" s="13" t="s">
        <v>22</v>
      </c>
    </row>
    <row r="278539" spans="1:1" x14ac:dyDescent="0.25">
      <c r="A278539" s="13" t="s">
        <v>3</v>
      </c>
    </row>
    <row r="278540" spans="1:1" x14ac:dyDescent="0.25">
      <c r="A278540" s="15" t="s">
        <v>95</v>
      </c>
    </row>
    <row r="278541" spans="1:1" x14ac:dyDescent="0.25">
      <c r="A278541" s="15" t="s">
        <v>94</v>
      </c>
    </row>
    <row r="278542" spans="1:1" x14ac:dyDescent="0.25">
      <c r="A278542" s="15" t="s">
        <v>4</v>
      </c>
    </row>
    <row r="278543" spans="1:1" x14ac:dyDescent="0.25">
      <c r="A278543" s="15" t="s">
        <v>118</v>
      </c>
    </row>
    <row r="278544" spans="1:1" x14ac:dyDescent="0.25">
      <c r="A278544" s="15" t="s">
        <v>5</v>
      </c>
    </row>
    <row r="278545" spans="1:1" x14ac:dyDescent="0.25">
      <c r="A278545" s="15" t="s">
        <v>6</v>
      </c>
    </row>
    <row r="278546" spans="1:1" x14ac:dyDescent="0.25">
      <c r="A278546" s="15" t="s">
        <v>7</v>
      </c>
    </row>
    <row r="278547" spans="1:1" x14ac:dyDescent="0.25">
      <c r="A278547" s="15" t="s">
        <v>8</v>
      </c>
    </row>
    <row r="278548" spans="1:1" x14ac:dyDescent="0.25">
      <c r="A278548" s="15" t="s">
        <v>9</v>
      </c>
    </row>
    <row r="278549" spans="1:1" x14ac:dyDescent="0.25">
      <c r="A278549" s="15" t="s">
        <v>10</v>
      </c>
    </row>
    <row r="278550" spans="1:1" x14ac:dyDescent="0.25">
      <c r="A278550" s="15" t="s">
        <v>11</v>
      </c>
    </row>
    <row r="278551" spans="1:1" x14ac:dyDescent="0.25">
      <c r="A278551" s="15" t="s">
        <v>12</v>
      </c>
    </row>
    <row r="278552" spans="1:1" x14ac:dyDescent="0.25">
      <c r="A278552" s="15" t="s">
        <v>13</v>
      </c>
    </row>
    <row r="278553" spans="1:1" x14ac:dyDescent="0.25">
      <c r="A278553" s="15" t="s">
        <v>14</v>
      </c>
    </row>
    <row r="278554" spans="1:1" x14ac:dyDescent="0.25">
      <c r="A278554" s="13" t="s">
        <v>31</v>
      </c>
    </row>
    <row r="278555" spans="1:1" x14ac:dyDescent="0.25">
      <c r="A278555" s="13" t="s">
        <v>87</v>
      </c>
    </row>
    <row r="278556" spans="1:1" x14ac:dyDescent="0.25">
      <c r="A278556" s="15" t="s">
        <v>30</v>
      </c>
    </row>
    <row r="278557" spans="1:1" x14ac:dyDescent="0.25">
      <c r="A278557" s="15" t="s">
        <v>26</v>
      </c>
    </row>
    <row r="278558" spans="1:1" x14ac:dyDescent="0.25">
      <c r="A278558" s="15" t="s">
        <v>27</v>
      </c>
    </row>
    <row r="278559" spans="1:1" x14ac:dyDescent="0.25">
      <c r="A278559" s="15" t="s">
        <v>28</v>
      </c>
    </row>
    <row r="278560" spans="1:1" x14ac:dyDescent="0.25">
      <c r="A278560" s="15" t="s">
        <v>89</v>
      </c>
    </row>
    <row r="278561" spans="1:1" x14ac:dyDescent="0.25">
      <c r="A278561" s="15" t="s">
        <v>90</v>
      </c>
    </row>
    <row r="278562" spans="1:1" x14ac:dyDescent="0.25">
      <c r="A278562" s="15" t="s">
        <v>185</v>
      </c>
    </row>
    <row r="278563" spans="1:1" x14ac:dyDescent="0.25">
      <c r="A278563" s="15" t="s">
        <v>186</v>
      </c>
    </row>
    <row r="278564" spans="1:1" x14ac:dyDescent="0.25">
      <c r="A278564" s="15" t="s">
        <v>187</v>
      </c>
    </row>
    <row r="278565" spans="1:1" x14ac:dyDescent="0.25">
      <c r="A278565" s="15" t="s">
        <v>188</v>
      </c>
    </row>
    <row r="278566" spans="1:1" x14ac:dyDescent="0.25">
      <c r="A278566" s="15" t="s">
        <v>189</v>
      </c>
    </row>
    <row r="278567" spans="1:1" x14ac:dyDescent="0.25">
      <c r="A278567" s="15" t="s">
        <v>190</v>
      </c>
    </row>
    <row r="278568" spans="1:1" x14ac:dyDescent="0.25">
      <c r="A278568" s="15" t="s">
        <v>191</v>
      </c>
    </row>
    <row r="278569" spans="1:1" x14ac:dyDescent="0.25">
      <c r="A278569" s="14" t="s">
        <v>47</v>
      </c>
    </row>
    <row r="278570" spans="1:1" x14ac:dyDescent="0.25">
      <c r="A278570" s="14" t="s">
        <v>119</v>
      </c>
    </row>
    <row r="278571" spans="1:1" x14ac:dyDescent="0.25">
      <c r="A278571" s="14" t="s">
        <v>86</v>
      </c>
    </row>
    <row r="278572" spans="1:1" x14ac:dyDescent="0.25">
      <c r="A278572" s="13" t="s">
        <v>21</v>
      </c>
    </row>
    <row r="278573" spans="1:1" x14ac:dyDescent="0.25">
      <c r="A278573" s="14" t="s">
        <v>92</v>
      </c>
    </row>
    <row r="278574" spans="1:1" x14ac:dyDescent="0.25">
      <c r="A278574" s="14" t="s">
        <v>93</v>
      </c>
    </row>
    <row r="278575" spans="1:1" x14ac:dyDescent="0.25">
      <c r="A278575" s="14" t="s">
        <v>99</v>
      </c>
    </row>
    <row r="278576" spans="1:1" x14ac:dyDescent="0.25">
      <c r="A278576" s="14" t="s">
        <v>100</v>
      </c>
    </row>
    <row r="278577" spans="1:1" x14ac:dyDescent="0.25">
      <c r="A278577" s="13" t="s">
        <v>24</v>
      </c>
    </row>
    <row r="278578" spans="1:1" x14ac:dyDescent="0.25">
      <c r="A278578" s="13" t="s">
        <v>83</v>
      </c>
    </row>
    <row r="278579" spans="1:1" x14ac:dyDescent="0.25">
      <c r="A278579" s="13" t="s">
        <v>106</v>
      </c>
    </row>
    <row r="278580" spans="1:1" x14ac:dyDescent="0.25">
      <c r="A278580" s="13" t="s">
        <v>101</v>
      </c>
    </row>
    <row r="278581" spans="1:1" x14ac:dyDescent="0.25">
      <c r="A278581" s="13" t="s">
        <v>102</v>
      </c>
    </row>
    <row r="278582" spans="1:1" x14ac:dyDescent="0.25">
      <c r="A278582" s="13" t="s">
        <v>103</v>
      </c>
    </row>
    <row r="278583" spans="1:1" x14ac:dyDescent="0.25">
      <c r="A278583" s="13" t="s">
        <v>104</v>
      </c>
    </row>
    <row r="278584" spans="1:1" x14ac:dyDescent="0.25">
      <c r="A278584" s="13" t="s">
        <v>105</v>
      </c>
    </row>
    <row r="294914" spans="1:1" x14ac:dyDescent="0.25">
      <c r="A294914" s="13" t="s">
        <v>0</v>
      </c>
    </row>
    <row r="294915" spans="1:1" x14ac:dyDescent="0.25">
      <c r="A294915" s="13" t="s">
        <v>125</v>
      </c>
    </row>
    <row r="294916" spans="1:1" x14ac:dyDescent="0.25">
      <c r="A294916" s="13" t="s">
        <v>1</v>
      </c>
    </row>
    <row r="294917" spans="1:1" x14ac:dyDescent="0.25">
      <c r="A294917" s="13" t="s">
        <v>2</v>
      </c>
    </row>
    <row r="294918" spans="1:1" x14ac:dyDescent="0.25">
      <c r="A294918" s="14" t="s">
        <v>25</v>
      </c>
    </row>
    <row r="294919" spans="1:1" x14ac:dyDescent="0.25">
      <c r="A294919" s="13" t="s">
        <v>126</v>
      </c>
    </row>
    <row r="294920" spans="1:1" x14ac:dyDescent="0.25">
      <c r="A294920" s="13" t="s">
        <v>127</v>
      </c>
    </row>
    <row r="294921" spans="1:1" x14ac:dyDescent="0.25">
      <c r="A294921" s="13" t="s">
        <v>88</v>
      </c>
    </row>
    <row r="294922" spans="1:1" x14ac:dyDescent="0.25">
      <c r="A294922" s="13" t="s">
        <v>22</v>
      </c>
    </row>
    <row r="294923" spans="1:1" x14ac:dyDescent="0.25">
      <c r="A294923" s="13" t="s">
        <v>3</v>
      </c>
    </row>
    <row r="294924" spans="1:1" x14ac:dyDescent="0.25">
      <c r="A294924" s="15" t="s">
        <v>95</v>
      </c>
    </row>
    <row r="294925" spans="1:1" x14ac:dyDescent="0.25">
      <c r="A294925" s="15" t="s">
        <v>94</v>
      </c>
    </row>
    <row r="294926" spans="1:1" x14ac:dyDescent="0.25">
      <c r="A294926" s="15" t="s">
        <v>4</v>
      </c>
    </row>
    <row r="294927" spans="1:1" x14ac:dyDescent="0.25">
      <c r="A294927" s="15" t="s">
        <v>118</v>
      </c>
    </row>
    <row r="294928" spans="1:1" x14ac:dyDescent="0.25">
      <c r="A294928" s="15" t="s">
        <v>5</v>
      </c>
    </row>
    <row r="294929" spans="1:1" x14ac:dyDescent="0.25">
      <c r="A294929" s="15" t="s">
        <v>6</v>
      </c>
    </row>
    <row r="294930" spans="1:1" x14ac:dyDescent="0.25">
      <c r="A294930" s="15" t="s">
        <v>7</v>
      </c>
    </row>
    <row r="294931" spans="1:1" x14ac:dyDescent="0.25">
      <c r="A294931" s="15" t="s">
        <v>8</v>
      </c>
    </row>
    <row r="294932" spans="1:1" x14ac:dyDescent="0.25">
      <c r="A294932" s="15" t="s">
        <v>9</v>
      </c>
    </row>
    <row r="294933" spans="1:1" x14ac:dyDescent="0.25">
      <c r="A294933" s="15" t="s">
        <v>10</v>
      </c>
    </row>
    <row r="294934" spans="1:1" x14ac:dyDescent="0.25">
      <c r="A294934" s="15" t="s">
        <v>11</v>
      </c>
    </row>
    <row r="294935" spans="1:1" x14ac:dyDescent="0.25">
      <c r="A294935" s="15" t="s">
        <v>12</v>
      </c>
    </row>
    <row r="294936" spans="1:1" x14ac:dyDescent="0.25">
      <c r="A294936" s="15" t="s">
        <v>13</v>
      </c>
    </row>
    <row r="294937" spans="1:1" x14ac:dyDescent="0.25">
      <c r="A294937" s="15" t="s">
        <v>14</v>
      </c>
    </row>
    <row r="294938" spans="1:1" x14ac:dyDescent="0.25">
      <c r="A294938" s="13" t="s">
        <v>31</v>
      </c>
    </row>
    <row r="294939" spans="1:1" x14ac:dyDescent="0.25">
      <c r="A294939" s="13" t="s">
        <v>87</v>
      </c>
    </row>
    <row r="294940" spans="1:1" x14ac:dyDescent="0.25">
      <c r="A294940" s="15" t="s">
        <v>30</v>
      </c>
    </row>
    <row r="294941" spans="1:1" x14ac:dyDescent="0.25">
      <c r="A294941" s="15" t="s">
        <v>26</v>
      </c>
    </row>
    <row r="294942" spans="1:1" x14ac:dyDescent="0.25">
      <c r="A294942" s="15" t="s">
        <v>27</v>
      </c>
    </row>
    <row r="294943" spans="1:1" x14ac:dyDescent="0.25">
      <c r="A294943" s="15" t="s">
        <v>28</v>
      </c>
    </row>
    <row r="294944" spans="1:1" x14ac:dyDescent="0.25">
      <c r="A294944" s="15" t="s">
        <v>89</v>
      </c>
    </row>
    <row r="294945" spans="1:1" x14ac:dyDescent="0.25">
      <c r="A294945" s="15" t="s">
        <v>90</v>
      </c>
    </row>
    <row r="294946" spans="1:1" x14ac:dyDescent="0.25">
      <c r="A294946" s="15" t="s">
        <v>185</v>
      </c>
    </row>
    <row r="294947" spans="1:1" x14ac:dyDescent="0.25">
      <c r="A294947" s="15" t="s">
        <v>186</v>
      </c>
    </row>
    <row r="294948" spans="1:1" x14ac:dyDescent="0.25">
      <c r="A294948" s="15" t="s">
        <v>187</v>
      </c>
    </row>
    <row r="294949" spans="1:1" x14ac:dyDescent="0.25">
      <c r="A294949" s="15" t="s">
        <v>188</v>
      </c>
    </row>
    <row r="294950" spans="1:1" x14ac:dyDescent="0.25">
      <c r="A294950" s="15" t="s">
        <v>189</v>
      </c>
    </row>
    <row r="294951" spans="1:1" x14ac:dyDescent="0.25">
      <c r="A294951" s="15" t="s">
        <v>190</v>
      </c>
    </row>
    <row r="294952" spans="1:1" x14ac:dyDescent="0.25">
      <c r="A294952" s="15" t="s">
        <v>191</v>
      </c>
    </row>
    <row r="294953" spans="1:1" x14ac:dyDescent="0.25">
      <c r="A294953" s="14" t="s">
        <v>47</v>
      </c>
    </row>
    <row r="294954" spans="1:1" x14ac:dyDescent="0.25">
      <c r="A294954" s="14" t="s">
        <v>119</v>
      </c>
    </row>
    <row r="294955" spans="1:1" x14ac:dyDescent="0.25">
      <c r="A294955" s="14" t="s">
        <v>86</v>
      </c>
    </row>
    <row r="294956" spans="1:1" x14ac:dyDescent="0.25">
      <c r="A294956" s="13" t="s">
        <v>21</v>
      </c>
    </row>
    <row r="294957" spans="1:1" x14ac:dyDescent="0.25">
      <c r="A294957" s="14" t="s">
        <v>92</v>
      </c>
    </row>
    <row r="294958" spans="1:1" x14ac:dyDescent="0.25">
      <c r="A294958" s="14" t="s">
        <v>93</v>
      </c>
    </row>
    <row r="294959" spans="1:1" x14ac:dyDescent="0.25">
      <c r="A294959" s="14" t="s">
        <v>99</v>
      </c>
    </row>
    <row r="294960" spans="1:1" x14ac:dyDescent="0.25">
      <c r="A294960" s="14" t="s">
        <v>100</v>
      </c>
    </row>
    <row r="294961" spans="1:1" x14ac:dyDescent="0.25">
      <c r="A294961" s="13" t="s">
        <v>24</v>
      </c>
    </row>
    <row r="294962" spans="1:1" x14ac:dyDescent="0.25">
      <c r="A294962" s="13" t="s">
        <v>83</v>
      </c>
    </row>
    <row r="294963" spans="1:1" x14ac:dyDescent="0.25">
      <c r="A294963" s="13" t="s">
        <v>106</v>
      </c>
    </row>
    <row r="294964" spans="1:1" x14ac:dyDescent="0.25">
      <c r="A294964" s="13" t="s">
        <v>101</v>
      </c>
    </row>
    <row r="294965" spans="1:1" x14ac:dyDescent="0.25">
      <c r="A294965" s="13" t="s">
        <v>102</v>
      </c>
    </row>
    <row r="294966" spans="1:1" x14ac:dyDescent="0.25">
      <c r="A294966" s="13" t="s">
        <v>103</v>
      </c>
    </row>
    <row r="294967" spans="1:1" x14ac:dyDescent="0.25">
      <c r="A294967" s="13" t="s">
        <v>104</v>
      </c>
    </row>
    <row r="294968" spans="1:1" x14ac:dyDescent="0.25">
      <c r="A294968" s="13" t="s">
        <v>105</v>
      </c>
    </row>
    <row r="311298" spans="1:1" x14ac:dyDescent="0.25">
      <c r="A311298" s="13" t="s">
        <v>0</v>
      </c>
    </row>
    <row r="311299" spans="1:1" x14ac:dyDescent="0.25">
      <c r="A311299" s="13" t="s">
        <v>125</v>
      </c>
    </row>
    <row r="311300" spans="1:1" x14ac:dyDescent="0.25">
      <c r="A311300" s="13" t="s">
        <v>1</v>
      </c>
    </row>
    <row r="311301" spans="1:1" x14ac:dyDescent="0.25">
      <c r="A311301" s="13" t="s">
        <v>2</v>
      </c>
    </row>
    <row r="311302" spans="1:1" x14ac:dyDescent="0.25">
      <c r="A311302" s="14" t="s">
        <v>25</v>
      </c>
    </row>
    <row r="311303" spans="1:1" x14ac:dyDescent="0.25">
      <c r="A311303" s="13" t="s">
        <v>126</v>
      </c>
    </row>
    <row r="311304" spans="1:1" x14ac:dyDescent="0.25">
      <c r="A311304" s="13" t="s">
        <v>127</v>
      </c>
    </row>
    <row r="311305" spans="1:1" x14ac:dyDescent="0.25">
      <c r="A311305" s="13" t="s">
        <v>88</v>
      </c>
    </row>
    <row r="311306" spans="1:1" x14ac:dyDescent="0.25">
      <c r="A311306" s="13" t="s">
        <v>22</v>
      </c>
    </row>
    <row r="311307" spans="1:1" x14ac:dyDescent="0.25">
      <c r="A311307" s="13" t="s">
        <v>3</v>
      </c>
    </row>
    <row r="311308" spans="1:1" x14ac:dyDescent="0.25">
      <c r="A311308" s="15" t="s">
        <v>95</v>
      </c>
    </row>
    <row r="311309" spans="1:1" x14ac:dyDescent="0.25">
      <c r="A311309" s="15" t="s">
        <v>94</v>
      </c>
    </row>
    <row r="311310" spans="1:1" x14ac:dyDescent="0.25">
      <c r="A311310" s="15" t="s">
        <v>4</v>
      </c>
    </row>
    <row r="311311" spans="1:1" x14ac:dyDescent="0.25">
      <c r="A311311" s="15" t="s">
        <v>118</v>
      </c>
    </row>
    <row r="311312" spans="1:1" x14ac:dyDescent="0.25">
      <c r="A311312" s="15" t="s">
        <v>5</v>
      </c>
    </row>
    <row r="311313" spans="1:1" x14ac:dyDescent="0.25">
      <c r="A311313" s="15" t="s">
        <v>6</v>
      </c>
    </row>
    <row r="311314" spans="1:1" x14ac:dyDescent="0.25">
      <c r="A311314" s="15" t="s">
        <v>7</v>
      </c>
    </row>
    <row r="311315" spans="1:1" x14ac:dyDescent="0.25">
      <c r="A311315" s="15" t="s">
        <v>8</v>
      </c>
    </row>
    <row r="311316" spans="1:1" x14ac:dyDescent="0.25">
      <c r="A311316" s="15" t="s">
        <v>9</v>
      </c>
    </row>
    <row r="311317" spans="1:1" x14ac:dyDescent="0.25">
      <c r="A311317" s="15" t="s">
        <v>10</v>
      </c>
    </row>
    <row r="311318" spans="1:1" x14ac:dyDescent="0.25">
      <c r="A311318" s="15" t="s">
        <v>11</v>
      </c>
    </row>
    <row r="311319" spans="1:1" x14ac:dyDescent="0.25">
      <c r="A311319" s="15" t="s">
        <v>12</v>
      </c>
    </row>
    <row r="311320" spans="1:1" x14ac:dyDescent="0.25">
      <c r="A311320" s="15" t="s">
        <v>13</v>
      </c>
    </row>
    <row r="311321" spans="1:1" x14ac:dyDescent="0.25">
      <c r="A311321" s="15" t="s">
        <v>14</v>
      </c>
    </row>
    <row r="311322" spans="1:1" x14ac:dyDescent="0.25">
      <c r="A311322" s="13" t="s">
        <v>31</v>
      </c>
    </row>
    <row r="311323" spans="1:1" x14ac:dyDescent="0.25">
      <c r="A311323" s="13" t="s">
        <v>87</v>
      </c>
    </row>
    <row r="311324" spans="1:1" x14ac:dyDescent="0.25">
      <c r="A311324" s="15" t="s">
        <v>30</v>
      </c>
    </row>
    <row r="311325" spans="1:1" x14ac:dyDescent="0.25">
      <c r="A311325" s="15" t="s">
        <v>26</v>
      </c>
    </row>
    <row r="311326" spans="1:1" x14ac:dyDescent="0.25">
      <c r="A311326" s="15" t="s">
        <v>27</v>
      </c>
    </row>
    <row r="311327" spans="1:1" x14ac:dyDescent="0.25">
      <c r="A311327" s="15" t="s">
        <v>28</v>
      </c>
    </row>
    <row r="311328" spans="1:1" x14ac:dyDescent="0.25">
      <c r="A311328" s="15" t="s">
        <v>89</v>
      </c>
    </row>
    <row r="311329" spans="1:1" x14ac:dyDescent="0.25">
      <c r="A311329" s="15" t="s">
        <v>90</v>
      </c>
    </row>
    <row r="311330" spans="1:1" x14ac:dyDescent="0.25">
      <c r="A311330" s="15" t="s">
        <v>185</v>
      </c>
    </row>
    <row r="311331" spans="1:1" x14ac:dyDescent="0.25">
      <c r="A311331" s="15" t="s">
        <v>186</v>
      </c>
    </row>
    <row r="311332" spans="1:1" x14ac:dyDescent="0.25">
      <c r="A311332" s="15" t="s">
        <v>187</v>
      </c>
    </row>
    <row r="311333" spans="1:1" x14ac:dyDescent="0.25">
      <c r="A311333" s="15" t="s">
        <v>188</v>
      </c>
    </row>
    <row r="311334" spans="1:1" x14ac:dyDescent="0.25">
      <c r="A311334" s="15" t="s">
        <v>189</v>
      </c>
    </row>
    <row r="311335" spans="1:1" x14ac:dyDescent="0.25">
      <c r="A311335" s="15" t="s">
        <v>190</v>
      </c>
    </row>
    <row r="311336" spans="1:1" x14ac:dyDescent="0.25">
      <c r="A311336" s="15" t="s">
        <v>191</v>
      </c>
    </row>
    <row r="311337" spans="1:1" x14ac:dyDescent="0.25">
      <c r="A311337" s="14" t="s">
        <v>47</v>
      </c>
    </row>
    <row r="311338" spans="1:1" x14ac:dyDescent="0.25">
      <c r="A311338" s="14" t="s">
        <v>119</v>
      </c>
    </row>
    <row r="311339" spans="1:1" x14ac:dyDescent="0.25">
      <c r="A311339" s="14" t="s">
        <v>86</v>
      </c>
    </row>
    <row r="311340" spans="1:1" x14ac:dyDescent="0.25">
      <c r="A311340" s="13" t="s">
        <v>21</v>
      </c>
    </row>
    <row r="311341" spans="1:1" x14ac:dyDescent="0.25">
      <c r="A311341" s="14" t="s">
        <v>92</v>
      </c>
    </row>
    <row r="311342" spans="1:1" x14ac:dyDescent="0.25">
      <c r="A311342" s="14" t="s">
        <v>93</v>
      </c>
    </row>
    <row r="311343" spans="1:1" x14ac:dyDescent="0.25">
      <c r="A311343" s="14" t="s">
        <v>99</v>
      </c>
    </row>
    <row r="311344" spans="1:1" x14ac:dyDescent="0.25">
      <c r="A311344" s="14" t="s">
        <v>100</v>
      </c>
    </row>
    <row r="311345" spans="1:1" x14ac:dyDescent="0.25">
      <c r="A311345" s="13" t="s">
        <v>24</v>
      </c>
    </row>
    <row r="311346" spans="1:1" x14ac:dyDescent="0.25">
      <c r="A311346" s="13" t="s">
        <v>83</v>
      </c>
    </row>
    <row r="311347" spans="1:1" x14ac:dyDescent="0.25">
      <c r="A311347" s="13" t="s">
        <v>106</v>
      </c>
    </row>
    <row r="311348" spans="1:1" x14ac:dyDescent="0.25">
      <c r="A311348" s="13" t="s">
        <v>101</v>
      </c>
    </row>
    <row r="311349" spans="1:1" x14ac:dyDescent="0.25">
      <c r="A311349" s="13" t="s">
        <v>102</v>
      </c>
    </row>
    <row r="311350" spans="1:1" x14ac:dyDescent="0.25">
      <c r="A311350" s="13" t="s">
        <v>103</v>
      </c>
    </row>
    <row r="311351" spans="1:1" x14ac:dyDescent="0.25">
      <c r="A311351" s="13" t="s">
        <v>104</v>
      </c>
    </row>
    <row r="311352" spans="1:1" x14ac:dyDescent="0.25">
      <c r="A311352" s="13" t="s">
        <v>105</v>
      </c>
    </row>
    <row r="327682" spans="1:1" x14ac:dyDescent="0.25">
      <c r="A327682" s="13" t="s">
        <v>0</v>
      </c>
    </row>
    <row r="327683" spans="1:1" x14ac:dyDescent="0.25">
      <c r="A327683" s="13" t="s">
        <v>125</v>
      </c>
    </row>
    <row r="327684" spans="1:1" x14ac:dyDescent="0.25">
      <c r="A327684" s="13" t="s">
        <v>1</v>
      </c>
    </row>
    <row r="327685" spans="1:1" x14ac:dyDescent="0.25">
      <c r="A327685" s="13" t="s">
        <v>2</v>
      </c>
    </row>
    <row r="327686" spans="1:1" x14ac:dyDescent="0.25">
      <c r="A327686" s="14" t="s">
        <v>25</v>
      </c>
    </row>
    <row r="327687" spans="1:1" x14ac:dyDescent="0.25">
      <c r="A327687" s="13" t="s">
        <v>126</v>
      </c>
    </row>
    <row r="327688" spans="1:1" x14ac:dyDescent="0.25">
      <c r="A327688" s="13" t="s">
        <v>127</v>
      </c>
    </row>
    <row r="327689" spans="1:1" x14ac:dyDescent="0.25">
      <c r="A327689" s="13" t="s">
        <v>88</v>
      </c>
    </row>
    <row r="327690" spans="1:1" x14ac:dyDescent="0.25">
      <c r="A327690" s="13" t="s">
        <v>22</v>
      </c>
    </row>
    <row r="327691" spans="1:1" x14ac:dyDescent="0.25">
      <c r="A327691" s="13" t="s">
        <v>3</v>
      </c>
    </row>
    <row r="327692" spans="1:1" x14ac:dyDescent="0.25">
      <c r="A327692" s="15" t="s">
        <v>95</v>
      </c>
    </row>
    <row r="327693" spans="1:1" x14ac:dyDescent="0.25">
      <c r="A327693" s="15" t="s">
        <v>94</v>
      </c>
    </row>
    <row r="327694" spans="1:1" x14ac:dyDescent="0.25">
      <c r="A327694" s="15" t="s">
        <v>4</v>
      </c>
    </row>
    <row r="327695" spans="1:1" x14ac:dyDescent="0.25">
      <c r="A327695" s="15" t="s">
        <v>118</v>
      </c>
    </row>
    <row r="327696" spans="1:1" x14ac:dyDescent="0.25">
      <c r="A327696" s="15" t="s">
        <v>5</v>
      </c>
    </row>
    <row r="327697" spans="1:1" x14ac:dyDescent="0.25">
      <c r="A327697" s="15" t="s">
        <v>6</v>
      </c>
    </row>
    <row r="327698" spans="1:1" x14ac:dyDescent="0.25">
      <c r="A327698" s="15" t="s">
        <v>7</v>
      </c>
    </row>
    <row r="327699" spans="1:1" x14ac:dyDescent="0.25">
      <c r="A327699" s="15" t="s">
        <v>8</v>
      </c>
    </row>
    <row r="327700" spans="1:1" x14ac:dyDescent="0.25">
      <c r="A327700" s="15" t="s">
        <v>9</v>
      </c>
    </row>
    <row r="327701" spans="1:1" x14ac:dyDescent="0.25">
      <c r="A327701" s="15" t="s">
        <v>10</v>
      </c>
    </row>
    <row r="327702" spans="1:1" x14ac:dyDescent="0.25">
      <c r="A327702" s="15" t="s">
        <v>11</v>
      </c>
    </row>
    <row r="327703" spans="1:1" x14ac:dyDescent="0.25">
      <c r="A327703" s="15" t="s">
        <v>12</v>
      </c>
    </row>
    <row r="327704" spans="1:1" x14ac:dyDescent="0.25">
      <c r="A327704" s="15" t="s">
        <v>13</v>
      </c>
    </row>
    <row r="327705" spans="1:1" x14ac:dyDescent="0.25">
      <c r="A327705" s="15" t="s">
        <v>14</v>
      </c>
    </row>
    <row r="327706" spans="1:1" x14ac:dyDescent="0.25">
      <c r="A327706" s="13" t="s">
        <v>31</v>
      </c>
    </row>
    <row r="327707" spans="1:1" x14ac:dyDescent="0.25">
      <c r="A327707" s="13" t="s">
        <v>87</v>
      </c>
    </row>
    <row r="327708" spans="1:1" x14ac:dyDescent="0.25">
      <c r="A327708" s="15" t="s">
        <v>30</v>
      </c>
    </row>
    <row r="327709" spans="1:1" x14ac:dyDescent="0.25">
      <c r="A327709" s="15" t="s">
        <v>26</v>
      </c>
    </row>
    <row r="327710" spans="1:1" x14ac:dyDescent="0.25">
      <c r="A327710" s="15" t="s">
        <v>27</v>
      </c>
    </row>
    <row r="327711" spans="1:1" x14ac:dyDescent="0.25">
      <c r="A327711" s="15" t="s">
        <v>28</v>
      </c>
    </row>
    <row r="327712" spans="1:1" x14ac:dyDescent="0.25">
      <c r="A327712" s="15" t="s">
        <v>89</v>
      </c>
    </row>
    <row r="327713" spans="1:1" x14ac:dyDescent="0.25">
      <c r="A327713" s="15" t="s">
        <v>90</v>
      </c>
    </row>
    <row r="327714" spans="1:1" x14ac:dyDescent="0.25">
      <c r="A327714" s="15" t="s">
        <v>185</v>
      </c>
    </row>
    <row r="327715" spans="1:1" x14ac:dyDescent="0.25">
      <c r="A327715" s="15" t="s">
        <v>186</v>
      </c>
    </row>
    <row r="327716" spans="1:1" x14ac:dyDescent="0.25">
      <c r="A327716" s="15" t="s">
        <v>187</v>
      </c>
    </row>
    <row r="327717" spans="1:1" x14ac:dyDescent="0.25">
      <c r="A327717" s="15" t="s">
        <v>188</v>
      </c>
    </row>
    <row r="327718" spans="1:1" x14ac:dyDescent="0.25">
      <c r="A327718" s="15" t="s">
        <v>189</v>
      </c>
    </row>
    <row r="327719" spans="1:1" x14ac:dyDescent="0.25">
      <c r="A327719" s="15" t="s">
        <v>190</v>
      </c>
    </row>
    <row r="327720" spans="1:1" x14ac:dyDescent="0.25">
      <c r="A327720" s="15" t="s">
        <v>191</v>
      </c>
    </row>
    <row r="327721" spans="1:1" x14ac:dyDescent="0.25">
      <c r="A327721" s="14" t="s">
        <v>47</v>
      </c>
    </row>
    <row r="327722" spans="1:1" x14ac:dyDescent="0.25">
      <c r="A327722" s="14" t="s">
        <v>119</v>
      </c>
    </row>
    <row r="327723" spans="1:1" x14ac:dyDescent="0.25">
      <c r="A327723" s="14" t="s">
        <v>86</v>
      </c>
    </row>
    <row r="327724" spans="1:1" x14ac:dyDescent="0.25">
      <c r="A327724" s="13" t="s">
        <v>21</v>
      </c>
    </row>
    <row r="327725" spans="1:1" x14ac:dyDescent="0.25">
      <c r="A327725" s="14" t="s">
        <v>92</v>
      </c>
    </row>
    <row r="327726" spans="1:1" x14ac:dyDescent="0.25">
      <c r="A327726" s="14" t="s">
        <v>93</v>
      </c>
    </row>
    <row r="327727" spans="1:1" x14ac:dyDescent="0.25">
      <c r="A327727" s="14" t="s">
        <v>99</v>
      </c>
    </row>
    <row r="327728" spans="1:1" x14ac:dyDescent="0.25">
      <c r="A327728" s="14" t="s">
        <v>100</v>
      </c>
    </row>
    <row r="327729" spans="1:1" x14ac:dyDescent="0.25">
      <c r="A327729" s="13" t="s">
        <v>24</v>
      </c>
    </row>
    <row r="327730" spans="1:1" x14ac:dyDescent="0.25">
      <c r="A327730" s="13" t="s">
        <v>83</v>
      </c>
    </row>
    <row r="327731" spans="1:1" x14ac:dyDescent="0.25">
      <c r="A327731" s="13" t="s">
        <v>106</v>
      </c>
    </row>
    <row r="327732" spans="1:1" x14ac:dyDescent="0.25">
      <c r="A327732" s="13" t="s">
        <v>101</v>
      </c>
    </row>
    <row r="327733" spans="1:1" x14ac:dyDescent="0.25">
      <c r="A327733" s="13" t="s">
        <v>102</v>
      </c>
    </row>
    <row r="327734" spans="1:1" x14ac:dyDescent="0.25">
      <c r="A327734" s="13" t="s">
        <v>103</v>
      </c>
    </row>
    <row r="327735" spans="1:1" x14ac:dyDescent="0.25">
      <c r="A327735" s="13" t="s">
        <v>104</v>
      </c>
    </row>
    <row r="327736" spans="1:1" x14ac:dyDescent="0.25">
      <c r="A327736" s="13" t="s">
        <v>105</v>
      </c>
    </row>
    <row r="344066" spans="1:1" x14ac:dyDescent="0.25">
      <c r="A344066" s="13" t="s">
        <v>0</v>
      </c>
    </row>
    <row r="344067" spans="1:1" x14ac:dyDescent="0.25">
      <c r="A344067" s="13" t="s">
        <v>125</v>
      </c>
    </row>
    <row r="344068" spans="1:1" x14ac:dyDescent="0.25">
      <c r="A344068" s="13" t="s">
        <v>1</v>
      </c>
    </row>
    <row r="344069" spans="1:1" x14ac:dyDescent="0.25">
      <c r="A344069" s="13" t="s">
        <v>2</v>
      </c>
    </row>
    <row r="344070" spans="1:1" x14ac:dyDescent="0.25">
      <c r="A344070" s="14" t="s">
        <v>25</v>
      </c>
    </row>
    <row r="344071" spans="1:1" x14ac:dyDescent="0.25">
      <c r="A344071" s="13" t="s">
        <v>126</v>
      </c>
    </row>
    <row r="344072" spans="1:1" x14ac:dyDescent="0.25">
      <c r="A344072" s="13" t="s">
        <v>127</v>
      </c>
    </row>
    <row r="344073" spans="1:1" x14ac:dyDescent="0.25">
      <c r="A344073" s="13" t="s">
        <v>88</v>
      </c>
    </row>
    <row r="344074" spans="1:1" x14ac:dyDescent="0.25">
      <c r="A344074" s="13" t="s">
        <v>22</v>
      </c>
    </row>
    <row r="344075" spans="1:1" x14ac:dyDescent="0.25">
      <c r="A344075" s="13" t="s">
        <v>3</v>
      </c>
    </row>
    <row r="344076" spans="1:1" x14ac:dyDescent="0.25">
      <c r="A344076" s="15" t="s">
        <v>95</v>
      </c>
    </row>
    <row r="344077" spans="1:1" x14ac:dyDescent="0.25">
      <c r="A344077" s="15" t="s">
        <v>94</v>
      </c>
    </row>
    <row r="344078" spans="1:1" x14ac:dyDescent="0.25">
      <c r="A344078" s="15" t="s">
        <v>4</v>
      </c>
    </row>
    <row r="344079" spans="1:1" x14ac:dyDescent="0.25">
      <c r="A344079" s="15" t="s">
        <v>118</v>
      </c>
    </row>
    <row r="344080" spans="1:1" x14ac:dyDescent="0.25">
      <c r="A344080" s="15" t="s">
        <v>5</v>
      </c>
    </row>
    <row r="344081" spans="1:1" x14ac:dyDescent="0.25">
      <c r="A344081" s="15" t="s">
        <v>6</v>
      </c>
    </row>
    <row r="344082" spans="1:1" x14ac:dyDescent="0.25">
      <c r="A344082" s="15" t="s">
        <v>7</v>
      </c>
    </row>
    <row r="344083" spans="1:1" x14ac:dyDescent="0.25">
      <c r="A344083" s="15" t="s">
        <v>8</v>
      </c>
    </row>
    <row r="344084" spans="1:1" x14ac:dyDescent="0.25">
      <c r="A344084" s="15" t="s">
        <v>9</v>
      </c>
    </row>
    <row r="344085" spans="1:1" x14ac:dyDescent="0.25">
      <c r="A344085" s="15" t="s">
        <v>10</v>
      </c>
    </row>
    <row r="344086" spans="1:1" x14ac:dyDescent="0.25">
      <c r="A344086" s="15" t="s">
        <v>11</v>
      </c>
    </row>
    <row r="344087" spans="1:1" x14ac:dyDescent="0.25">
      <c r="A344087" s="15" t="s">
        <v>12</v>
      </c>
    </row>
    <row r="344088" spans="1:1" x14ac:dyDescent="0.25">
      <c r="A344088" s="15" t="s">
        <v>13</v>
      </c>
    </row>
    <row r="344089" spans="1:1" x14ac:dyDescent="0.25">
      <c r="A344089" s="15" t="s">
        <v>14</v>
      </c>
    </row>
    <row r="344090" spans="1:1" x14ac:dyDescent="0.25">
      <c r="A344090" s="13" t="s">
        <v>31</v>
      </c>
    </row>
    <row r="344091" spans="1:1" x14ac:dyDescent="0.25">
      <c r="A344091" s="13" t="s">
        <v>87</v>
      </c>
    </row>
    <row r="344092" spans="1:1" x14ac:dyDescent="0.25">
      <c r="A344092" s="15" t="s">
        <v>30</v>
      </c>
    </row>
    <row r="344093" spans="1:1" x14ac:dyDescent="0.25">
      <c r="A344093" s="15" t="s">
        <v>26</v>
      </c>
    </row>
    <row r="344094" spans="1:1" x14ac:dyDescent="0.25">
      <c r="A344094" s="15" t="s">
        <v>27</v>
      </c>
    </row>
    <row r="344095" spans="1:1" x14ac:dyDescent="0.25">
      <c r="A344095" s="15" t="s">
        <v>28</v>
      </c>
    </row>
    <row r="344096" spans="1:1" x14ac:dyDescent="0.25">
      <c r="A344096" s="15" t="s">
        <v>89</v>
      </c>
    </row>
    <row r="344097" spans="1:1" x14ac:dyDescent="0.25">
      <c r="A344097" s="15" t="s">
        <v>90</v>
      </c>
    </row>
    <row r="344098" spans="1:1" x14ac:dyDescent="0.25">
      <c r="A344098" s="15" t="s">
        <v>185</v>
      </c>
    </row>
    <row r="344099" spans="1:1" x14ac:dyDescent="0.25">
      <c r="A344099" s="15" t="s">
        <v>186</v>
      </c>
    </row>
    <row r="344100" spans="1:1" x14ac:dyDescent="0.25">
      <c r="A344100" s="15" t="s">
        <v>187</v>
      </c>
    </row>
    <row r="344101" spans="1:1" x14ac:dyDescent="0.25">
      <c r="A344101" s="15" t="s">
        <v>188</v>
      </c>
    </row>
    <row r="344102" spans="1:1" x14ac:dyDescent="0.25">
      <c r="A344102" s="15" t="s">
        <v>189</v>
      </c>
    </row>
    <row r="344103" spans="1:1" x14ac:dyDescent="0.25">
      <c r="A344103" s="15" t="s">
        <v>190</v>
      </c>
    </row>
    <row r="344104" spans="1:1" x14ac:dyDescent="0.25">
      <c r="A344104" s="15" t="s">
        <v>191</v>
      </c>
    </row>
    <row r="344105" spans="1:1" x14ac:dyDescent="0.25">
      <c r="A344105" s="14" t="s">
        <v>47</v>
      </c>
    </row>
    <row r="344106" spans="1:1" x14ac:dyDescent="0.25">
      <c r="A344106" s="14" t="s">
        <v>119</v>
      </c>
    </row>
    <row r="344107" spans="1:1" x14ac:dyDescent="0.25">
      <c r="A344107" s="14" t="s">
        <v>86</v>
      </c>
    </row>
    <row r="344108" spans="1:1" x14ac:dyDescent="0.25">
      <c r="A344108" s="13" t="s">
        <v>21</v>
      </c>
    </row>
    <row r="344109" spans="1:1" x14ac:dyDescent="0.25">
      <c r="A344109" s="14" t="s">
        <v>92</v>
      </c>
    </row>
    <row r="344110" spans="1:1" x14ac:dyDescent="0.25">
      <c r="A344110" s="14" t="s">
        <v>93</v>
      </c>
    </row>
    <row r="344111" spans="1:1" x14ac:dyDescent="0.25">
      <c r="A344111" s="14" t="s">
        <v>99</v>
      </c>
    </row>
    <row r="344112" spans="1:1" x14ac:dyDescent="0.25">
      <c r="A344112" s="14" t="s">
        <v>100</v>
      </c>
    </row>
    <row r="344113" spans="1:1" x14ac:dyDescent="0.25">
      <c r="A344113" s="13" t="s">
        <v>24</v>
      </c>
    </row>
    <row r="344114" spans="1:1" x14ac:dyDescent="0.25">
      <c r="A344114" s="13" t="s">
        <v>83</v>
      </c>
    </row>
    <row r="344115" spans="1:1" x14ac:dyDescent="0.25">
      <c r="A344115" s="13" t="s">
        <v>106</v>
      </c>
    </row>
    <row r="344116" spans="1:1" x14ac:dyDescent="0.25">
      <c r="A344116" s="13" t="s">
        <v>101</v>
      </c>
    </row>
    <row r="344117" spans="1:1" x14ac:dyDescent="0.25">
      <c r="A344117" s="13" t="s">
        <v>102</v>
      </c>
    </row>
    <row r="344118" spans="1:1" x14ac:dyDescent="0.25">
      <c r="A344118" s="13" t="s">
        <v>103</v>
      </c>
    </row>
    <row r="344119" spans="1:1" x14ac:dyDescent="0.25">
      <c r="A344119" s="13" t="s">
        <v>104</v>
      </c>
    </row>
    <row r="344120" spans="1:1" x14ac:dyDescent="0.25">
      <c r="A344120" s="13" t="s">
        <v>105</v>
      </c>
    </row>
    <row r="360450" spans="1:1" x14ac:dyDescent="0.25">
      <c r="A360450" s="13" t="s">
        <v>0</v>
      </c>
    </row>
    <row r="360451" spans="1:1" x14ac:dyDescent="0.25">
      <c r="A360451" s="13" t="s">
        <v>125</v>
      </c>
    </row>
    <row r="360452" spans="1:1" x14ac:dyDescent="0.25">
      <c r="A360452" s="13" t="s">
        <v>1</v>
      </c>
    </row>
    <row r="360453" spans="1:1" x14ac:dyDescent="0.25">
      <c r="A360453" s="13" t="s">
        <v>2</v>
      </c>
    </row>
    <row r="360454" spans="1:1" x14ac:dyDescent="0.25">
      <c r="A360454" s="14" t="s">
        <v>25</v>
      </c>
    </row>
    <row r="360455" spans="1:1" x14ac:dyDescent="0.25">
      <c r="A360455" s="13" t="s">
        <v>126</v>
      </c>
    </row>
    <row r="360456" spans="1:1" x14ac:dyDescent="0.25">
      <c r="A360456" s="13" t="s">
        <v>127</v>
      </c>
    </row>
    <row r="360457" spans="1:1" x14ac:dyDescent="0.25">
      <c r="A360457" s="13" t="s">
        <v>88</v>
      </c>
    </row>
    <row r="360458" spans="1:1" x14ac:dyDescent="0.25">
      <c r="A360458" s="13" t="s">
        <v>22</v>
      </c>
    </row>
    <row r="360459" spans="1:1" x14ac:dyDescent="0.25">
      <c r="A360459" s="13" t="s">
        <v>3</v>
      </c>
    </row>
    <row r="360460" spans="1:1" x14ac:dyDescent="0.25">
      <c r="A360460" s="15" t="s">
        <v>95</v>
      </c>
    </row>
    <row r="360461" spans="1:1" x14ac:dyDescent="0.25">
      <c r="A360461" s="15" t="s">
        <v>94</v>
      </c>
    </row>
    <row r="360462" spans="1:1" x14ac:dyDescent="0.25">
      <c r="A360462" s="15" t="s">
        <v>4</v>
      </c>
    </row>
    <row r="360463" spans="1:1" x14ac:dyDescent="0.25">
      <c r="A360463" s="15" t="s">
        <v>118</v>
      </c>
    </row>
    <row r="360464" spans="1:1" x14ac:dyDescent="0.25">
      <c r="A360464" s="15" t="s">
        <v>5</v>
      </c>
    </row>
    <row r="360465" spans="1:1" x14ac:dyDescent="0.25">
      <c r="A360465" s="15" t="s">
        <v>6</v>
      </c>
    </row>
    <row r="360466" spans="1:1" x14ac:dyDescent="0.25">
      <c r="A360466" s="15" t="s">
        <v>7</v>
      </c>
    </row>
    <row r="360467" spans="1:1" x14ac:dyDescent="0.25">
      <c r="A360467" s="15" t="s">
        <v>8</v>
      </c>
    </row>
    <row r="360468" spans="1:1" x14ac:dyDescent="0.25">
      <c r="A360468" s="15" t="s">
        <v>9</v>
      </c>
    </row>
    <row r="360469" spans="1:1" x14ac:dyDescent="0.25">
      <c r="A360469" s="15" t="s">
        <v>10</v>
      </c>
    </row>
    <row r="360470" spans="1:1" x14ac:dyDescent="0.25">
      <c r="A360470" s="15" t="s">
        <v>11</v>
      </c>
    </row>
    <row r="360471" spans="1:1" x14ac:dyDescent="0.25">
      <c r="A360471" s="15" t="s">
        <v>12</v>
      </c>
    </row>
    <row r="360472" spans="1:1" x14ac:dyDescent="0.25">
      <c r="A360472" s="15" t="s">
        <v>13</v>
      </c>
    </row>
    <row r="360473" spans="1:1" x14ac:dyDescent="0.25">
      <c r="A360473" s="15" t="s">
        <v>14</v>
      </c>
    </row>
    <row r="360474" spans="1:1" x14ac:dyDescent="0.25">
      <c r="A360474" s="13" t="s">
        <v>31</v>
      </c>
    </row>
    <row r="360475" spans="1:1" x14ac:dyDescent="0.25">
      <c r="A360475" s="13" t="s">
        <v>87</v>
      </c>
    </row>
    <row r="360476" spans="1:1" x14ac:dyDescent="0.25">
      <c r="A360476" s="15" t="s">
        <v>30</v>
      </c>
    </row>
    <row r="360477" spans="1:1" x14ac:dyDescent="0.25">
      <c r="A360477" s="15" t="s">
        <v>26</v>
      </c>
    </row>
    <row r="360478" spans="1:1" x14ac:dyDescent="0.25">
      <c r="A360478" s="15" t="s">
        <v>27</v>
      </c>
    </row>
    <row r="360479" spans="1:1" x14ac:dyDescent="0.25">
      <c r="A360479" s="15" t="s">
        <v>28</v>
      </c>
    </row>
    <row r="360480" spans="1:1" x14ac:dyDescent="0.25">
      <c r="A360480" s="15" t="s">
        <v>89</v>
      </c>
    </row>
    <row r="360481" spans="1:1" x14ac:dyDescent="0.25">
      <c r="A360481" s="15" t="s">
        <v>90</v>
      </c>
    </row>
    <row r="360482" spans="1:1" x14ac:dyDescent="0.25">
      <c r="A360482" s="15" t="s">
        <v>185</v>
      </c>
    </row>
    <row r="360483" spans="1:1" x14ac:dyDescent="0.25">
      <c r="A360483" s="15" t="s">
        <v>186</v>
      </c>
    </row>
    <row r="360484" spans="1:1" x14ac:dyDescent="0.25">
      <c r="A360484" s="15" t="s">
        <v>187</v>
      </c>
    </row>
    <row r="360485" spans="1:1" x14ac:dyDescent="0.25">
      <c r="A360485" s="15" t="s">
        <v>188</v>
      </c>
    </row>
    <row r="360486" spans="1:1" x14ac:dyDescent="0.25">
      <c r="A360486" s="15" t="s">
        <v>189</v>
      </c>
    </row>
    <row r="360487" spans="1:1" x14ac:dyDescent="0.25">
      <c r="A360487" s="15" t="s">
        <v>190</v>
      </c>
    </row>
    <row r="360488" spans="1:1" x14ac:dyDescent="0.25">
      <c r="A360488" s="15" t="s">
        <v>191</v>
      </c>
    </row>
    <row r="360489" spans="1:1" x14ac:dyDescent="0.25">
      <c r="A360489" s="14" t="s">
        <v>47</v>
      </c>
    </row>
    <row r="360490" spans="1:1" x14ac:dyDescent="0.25">
      <c r="A360490" s="14" t="s">
        <v>119</v>
      </c>
    </row>
    <row r="360491" spans="1:1" x14ac:dyDescent="0.25">
      <c r="A360491" s="14" t="s">
        <v>86</v>
      </c>
    </row>
    <row r="360492" spans="1:1" x14ac:dyDescent="0.25">
      <c r="A360492" s="13" t="s">
        <v>21</v>
      </c>
    </row>
    <row r="360493" spans="1:1" x14ac:dyDescent="0.25">
      <c r="A360493" s="14" t="s">
        <v>92</v>
      </c>
    </row>
    <row r="360494" spans="1:1" x14ac:dyDescent="0.25">
      <c r="A360494" s="14" t="s">
        <v>93</v>
      </c>
    </row>
    <row r="360495" spans="1:1" x14ac:dyDescent="0.25">
      <c r="A360495" s="14" t="s">
        <v>99</v>
      </c>
    </row>
    <row r="360496" spans="1:1" x14ac:dyDescent="0.25">
      <c r="A360496" s="14" t="s">
        <v>100</v>
      </c>
    </row>
    <row r="360497" spans="1:1" x14ac:dyDescent="0.25">
      <c r="A360497" s="13" t="s">
        <v>24</v>
      </c>
    </row>
    <row r="360498" spans="1:1" x14ac:dyDescent="0.25">
      <c r="A360498" s="13" t="s">
        <v>83</v>
      </c>
    </row>
    <row r="360499" spans="1:1" x14ac:dyDescent="0.25">
      <c r="A360499" s="13" t="s">
        <v>106</v>
      </c>
    </row>
    <row r="360500" spans="1:1" x14ac:dyDescent="0.25">
      <c r="A360500" s="13" t="s">
        <v>101</v>
      </c>
    </row>
    <row r="360501" spans="1:1" x14ac:dyDescent="0.25">
      <c r="A360501" s="13" t="s">
        <v>102</v>
      </c>
    </row>
    <row r="360502" spans="1:1" x14ac:dyDescent="0.25">
      <c r="A360502" s="13" t="s">
        <v>103</v>
      </c>
    </row>
    <row r="360503" spans="1:1" x14ac:dyDescent="0.25">
      <c r="A360503" s="13" t="s">
        <v>104</v>
      </c>
    </row>
    <row r="360504" spans="1:1" x14ac:dyDescent="0.25">
      <c r="A360504" s="13" t="s">
        <v>105</v>
      </c>
    </row>
    <row r="376834" spans="1:1" x14ac:dyDescent="0.25">
      <c r="A376834" s="13" t="s">
        <v>0</v>
      </c>
    </row>
    <row r="376835" spans="1:1" x14ac:dyDescent="0.25">
      <c r="A376835" s="13" t="s">
        <v>125</v>
      </c>
    </row>
    <row r="376836" spans="1:1" x14ac:dyDescent="0.25">
      <c r="A376836" s="13" t="s">
        <v>1</v>
      </c>
    </row>
    <row r="376837" spans="1:1" x14ac:dyDescent="0.25">
      <c r="A376837" s="13" t="s">
        <v>2</v>
      </c>
    </row>
    <row r="376838" spans="1:1" x14ac:dyDescent="0.25">
      <c r="A376838" s="14" t="s">
        <v>25</v>
      </c>
    </row>
    <row r="376839" spans="1:1" x14ac:dyDescent="0.25">
      <c r="A376839" s="13" t="s">
        <v>126</v>
      </c>
    </row>
    <row r="376840" spans="1:1" x14ac:dyDescent="0.25">
      <c r="A376840" s="13" t="s">
        <v>127</v>
      </c>
    </row>
    <row r="376841" spans="1:1" x14ac:dyDescent="0.25">
      <c r="A376841" s="13" t="s">
        <v>88</v>
      </c>
    </row>
    <row r="376842" spans="1:1" x14ac:dyDescent="0.25">
      <c r="A376842" s="13" t="s">
        <v>22</v>
      </c>
    </row>
    <row r="376843" spans="1:1" x14ac:dyDescent="0.25">
      <c r="A376843" s="13" t="s">
        <v>3</v>
      </c>
    </row>
    <row r="376844" spans="1:1" x14ac:dyDescent="0.25">
      <c r="A376844" s="15" t="s">
        <v>95</v>
      </c>
    </row>
    <row r="376845" spans="1:1" x14ac:dyDescent="0.25">
      <c r="A376845" s="15" t="s">
        <v>94</v>
      </c>
    </row>
    <row r="376846" spans="1:1" x14ac:dyDescent="0.25">
      <c r="A376846" s="15" t="s">
        <v>4</v>
      </c>
    </row>
    <row r="376847" spans="1:1" x14ac:dyDescent="0.25">
      <c r="A376847" s="15" t="s">
        <v>118</v>
      </c>
    </row>
    <row r="376848" spans="1:1" x14ac:dyDescent="0.25">
      <c r="A376848" s="15" t="s">
        <v>5</v>
      </c>
    </row>
    <row r="376849" spans="1:1" x14ac:dyDescent="0.25">
      <c r="A376849" s="15" t="s">
        <v>6</v>
      </c>
    </row>
    <row r="376850" spans="1:1" x14ac:dyDescent="0.25">
      <c r="A376850" s="15" t="s">
        <v>7</v>
      </c>
    </row>
    <row r="376851" spans="1:1" x14ac:dyDescent="0.25">
      <c r="A376851" s="15" t="s">
        <v>8</v>
      </c>
    </row>
    <row r="376852" spans="1:1" x14ac:dyDescent="0.25">
      <c r="A376852" s="15" t="s">
        <v>9</v>
      </c>
    </row>
    <row r="376853" spans="1:1" x14ac:dyDescent="0.25">
      <c r="A376853" s="15" t="s">
        <v>10</v>
      </c>
    </row>
    <row r="376854" spans="1:1" x14ac:dyDescent="0.25">
      <c r="A376854" s="15" t="s">
        <v>11</v>
      </c>
    </row>
    <row r="376855" spans="1:1" x14ac:dyDescent="0.25">
      <c r="A376855" s="15" t="s">
        <v>12</v>
      </c>
    </row>
    <row r="376856" spans="1:1" x14ac:dyDescent="0.25">
      <c r="A376856" s="15" t="s">
        <v>13</v>
      </c>
    </row>
    <row r="376857" spans="1:1" x14ac:dyDescent="0.25">
      <c r="A376857" s="15" t="s">
        <v>14</v>
      </c>
    </row>
    <row r="376858" spans="1:1" x14ac:dyDescent="0.25">
      <c r="A376858" s="13" t="s">
        <v>31</v>
      </c>
    </row>
    <row r="376859" spans="1:1" x14ac:dyDescent="0.25">
      <c r="A376859" s="13" t="s">
        <v>87</v>
      </c>
    </row>
    <row r="376860" spans="1:1" x14ac:dyDescent="0.25">
      <c r="A376860" s="15" t="s">
        <v>30</v>
      </c>
    </row>
    <row r="376861" spans="1:1" x14ac:dyDescent="0.25">
      <c r="A376861" s="15" t="s">
        <v>26</v>
      </c>
    </row>
    <row r="376862" spans="1:1" x14ac:dyDescent="0.25">
      <c r="A376862" s="15" t="s">
        <v>27</v>
      </c>
    </row>
    <row r="376863" spans="1:1" x14ac:dyDescent="0.25">
      <c r="A376863" s="15" t="s">
        <v>28</v>
      </c>
    </row>
    <row r="376864" spans="1:1" x14ac:dyDescent="0.25">
      <c r="A376864" s="15" t="s">
        <v>89</v>
      </c>
    </row>
    <row r="376865" spans="1:1" x14ac:dyDescent="0.25">
      <c r="A376865" s="15" t="s">
        <v>90</v>
      </c>
    </row>
    <row r="376866" spans="1:1" x14ac:dyDescent="0.25">
      <c r="A376866" s="15" t="s">
        <v>185</v>
      </c>
    </row>
    <row r="376867" spans="1:1" x14ac:dyDescent="0.25">
      <c r="A376867" s="15" t="s">
        <v>186</v>
      </c>
    </row>
    <row r="376868" spans="1:1" x14ac:dyDescent="0.25">
      <c r="A376868" s="15" t="s">
        <v>187</v>
      </c>
    </row>
    <row r="376869" spans="1:1" x14ac:dyDescent="0.25">
      <c r="A376869" s="15" t="s">
        <v>188</v>
      </c>
    </row>
    <row r="376870" spans="1:1" x14ac:dyDescent="0.25">
      <c r="A376870" s="15" t="s">
        <v>189</v>
      </c>
    </row>
    <row r="376871" spans="1:1" x14ac:dyDescent="0.25">
      <c r="A376871" s="15" t="s">
        <v>190</v>
      </c>
    </row>
    <row r="376872" spans="1:1" x14ac:dyDescent="0.25">
      <c r="A376872" s="15" t="s">
        <v>191</v>
      </c>
    </row>
    <row r="376873" spans="1:1" x14ac:dyDescent="0.25">
      <c r="A376873" s="14" t="s">
        <v>47</v>
      </c>
    </row>
    <row r="376874" spans="1:1" x14ac:dyDescent="0.25">
      <c r="A376874" s="14" t="s">
        <v>119</v>
      </c>
    </row>
    <row r="376875" spans="1:1" x14ac:dyDescent="0.25">
      <c r="A376875" s="14" t="s">
        <v>86</v>
      </c>
    </row>
    <row r="376876" spans="1:1" x14ac:dyDescent="0.25">
      <c r="A376876" s="13" t="s">
        <v>21</v>
      </c>
    </row>
    <row r="376877" spans="1:1" x14ac:dyDescent="0.25">
      <c r="A376877" s="14" t="s">
        <v>92</v>
      </c>
    </row>
    <row r="376878" spans="1:1" x14ac:dyDescent="0.25">
      <c r="A376878" s="14" t="s">
        <v>93</v>
      </c>
    </row>
    <row r="376879" spans="1:1" x14ac:dyDescent="0.25">
      <c r="A376879" s="14" t="s">
        <v>99</v>
      </c>
    </row>
    <row r="376880" spans="1:1" x14ac:dyDescent="0.25">
      <c r="A376880" s="14" t="s">
        <v>100</v>
      </c>
    </row>
    <row r="376881" spans="1:1" x14ac:dyDescent="0.25">
      <c r="A376881" s="13" t="s">
        <v>24</v>
      </c>
    </row>
    <row r="376882" spans="1:1" x14ac:dyDescent="0.25">
      <c r="A376882" s="13" t="s">
        <v>83</v>
      </c>
    </row>
    <row r="376883" spans="1:1" x14ac:dyDescent="0.25">
      <c r="A376883" s="13" t="s">
        <v>106</v>
      </c>
    </row>
    <row r="376884" spans="1:1" x14ac:dyDescent="0.25">
      <c r="A376884" s="13" t="s">
        <v>101</v>
      </c>
    </row>
    <row r="376885" spans="1:1" x14ac:dyDescent="0.25">
      <c r="A376885" s="13" t="s">
        <v>102</v>
      </c>
    </row>
    <row r="376886" spans="1:1" x14ac:dyDescent="0.25">
      <c r="A376886" s="13" t="s">
        <v>103</v>
      </c>
    </row>
    <row r="376887" spans="1:1" x14ac:dyDescent="0.25">
      <c r="A376887" s="13" t="s">
        <v>104</v>
      </c>
    </row>
    <row r="376888" spans="1:1" x14ac:dyDescent="0.25">
      <c r="A376888" s="13" t="s">
        <v>105</v>
      </c>
    </row>
    <row r="393218" spans="1:1" x14ac:dyDescent="0.25">
      <c r="A393218" s="13" t="s">
        <v>0</v>
      </c>
    </row>
    <row r="393219" spans="1:1" x14ac:dyDescent="0.25">
      <c r="A393219" s="13" t="s">
        <v>125</v>
      </c>
    </row>
    <row r="393220" spans="1:1" x14ac:dyDescent="0.25">
      <c r="A393220" s="13" t="s">
        <v>1</v>
      </c>
    </row>
    <row r="393221" spans="1:1" x14ac:dyDescent="0.25">
      <c r="A393221" s="13" t="s">
        <v>2</v>
      </c>
    </row>
    <row r="393222" spans="1:1" x14ac:dyDescent="0.25">
      <c r="A393222" s="14" t="s">
        <v>25</v>
      </c>
    </row>
    <row r="393223" spans="1:1" x14ac:dyDescent="0.25">
      <c r="A393223" s="13" t="s">
        <v>126</v>
      </c>
    </row>
    <row r="393224" spans="1:1" x14ac:dyDescent="0.25">
      <c r="A393224" s="13" t="s">
        <v>127</v>
      </c>
    </row>
    <row r="393225" spans="1:1" x14ac:dyDescent="0.25">
      <c r="A393225" s="13" t="s">
        <v>88</v>
      </c>
    </row>
    <row r="393226" spans="1:1" x14ac:dyDescent="0.25">
      <c r="A393226" s="13" t="s">
        <v>22</v>
      </c>
    </row>
    <row r="393227" spans="1:1" x14ac:dyDescent="0.25">
      <c r="A393227" s="13" t="s">
        <v>3</v>
      </c>
    </row>
    <row r="393228" spans="1:1" x14ac:dyDescent="0.25">
      <c r="A393228" s="15" t="s">
        <v>95</v>
      </c>
    </row>
    <row r="393229" spans="1:1" x14ac:dyDescent="0.25">
      <c r="A393229" s="15" t="s">
        <v>94</v>
      </c>
    </row>
    <row r="393230" spans="1:1" x14ac:dyDescent="0.25">
      <c r="A393230" s="15" t="s">
        <v>4</v>
      </c>
    </row>
    <row r="393231" spans="1:1" x14ac:dyDescent="0.25">
      <c r="A393231" s="15" t="s">
        <v>118</v>
      </c>
    </row>
    <row r="393232" spans="1:1" x14ac:dyDescent="0.25">
      <c r="A393232" s="15" t="s">
        <v>5</v>
      </c>
    </row>
    <row r="393233" spans="1:1" x14ac:dyDescent="0.25">
      <c r="A393233" s="15" t="s">
        <v>6</v>
      </c>
    </row>
    <row r="393234" spans="1:1" x14ac:dyDescent="0.25">
      <c r="A393234" s="15" t="s">
        <v>7</v>
      </c>
    </row>
    <row r="393235" spans="1:1" x14ac:dyDescent="0.25">
      <c r="A393235" s="15" t="s">
        <v>8</v>
      </c>
    </row>
    <row r="393236" spans="1:1" x14ac:dyDescent="0.25">
      <c r="A393236" s="15" t="s">
        <v>9</v>
      </c>
    </row>
    <row r="393237" spans="1:1" x14ac:dyDescent="0.25">
      <c r="A393237" s="15" t="s">
        <v>10</v>
      </c>
    </row>
    <row r="393238" spans="1:1" x14ac:dyDescent="0.25">
      <c r="A393238" s="15" t="s">
        <v>11</v>
      </c>
    </row>
    <row r="393239" spans="1:1" x14ac:dyDescent="0.25">
      <c r="A393239" s="15" t="s">
        <v>12</v>
      </c>
    </row>
    <row r="393240" spans="1:1" x14ac:dyDescent="0.25">
      <c r="A393240" s="15" t="s">
        <v>13</v>
      </c>
    </row>
    <row r="393241" spans="1:1" x14ac:dyDescent="0.25">
      <c r="A393241" s="15" t="s">
        <v>14</v>
      </c>
    </row>
    <row r="393242" spans="1:1" x14ac:dyDescent="0.25">
      <c r="A393242" s="13" t="s">
        <v>31</v>
      </c>
    </row>
    <row r="393243" spans="1:1" x14ac:dyDescent="0.25">
      <c r="A393243" s="13" t="s">
        <v>87</v>
      </c>
    </row>
    <row r="393244" spans="1:1" x14ac:dyDescent="0.25">
      <c r="A393244" s="15" t="s">
        <v>30</v>
      </c>
    </row>
    <row r="393245" spans="1:1" x14ac:dyDescent="0.25">
      <c r="A393245" s="15" t="s">
        <v>26</v>
      </c>
    </row>
    <row r="393246" spans="1:1" x14ac:dyDescent="0.25">
      <c r="A393246" s="15" t="s">
        <v>27</v>
      </c>
    </row>
    <row r="393247" spans="1:1" x14ac:dyDescent="0.25">
      <c r="A393247" s="15" t="s">
        <v>28</v>
      </c>
    </row>
    <row r="393248" spans="1:1" x14ac:dyDescent="0.25">
      <c r="A393248" s="15" t="s">
        <v>89</v>
      </c>
    </row>
    <row r="393249" spans="1:1" x14ac:dyDescent="0.25">
      <c r="A393249" s="15" t="s">
        <v>90</v>
      </c>
    </row>
    <row r="393250" spans="1:1" x14ac:dyDescent="0.25">
      <c r="A393250" s="15" t="s">
        <v>185</v>
      </c>
    </row>
    <row r="393251" spans="1:1" x14ac:dyDescent="0.25">
      <c r="A393251" s="15" t="s">
        <v>186</v>
      </c>
    </row>
    <row r="393252" spans="1:1" x14ac:dyDescent="0.25">
      <c r="A393252" s="15" t="s">
        <v>187</v>
      </c>
    </row>
    <row r="393253" spans="1:1" x14ac:dyDescent="0.25">
      <c r="A393253" s="15" t="s">
        <v>188</v>
      </c>
    </row>
    <row r="393254" spans="1:1" x14ac:dyDescent="0.25">
      <c r="A393254" s="15" t="s">
        <v>189</v>
      </c>
    </row>
    <row r="393255" spans="1:1" x14ac:dyDescent="0.25">
      <c r="A393255" s="15" t="s">
        <v>190</v>
      </c>
    </row>
    <row r="393256" spans="1:1" x14ac:dyDescent="0.25">
      <c r="A393256" s="15" t="s">
        <v>191</v>
      </c>
    </row>
    <row r="393257" spans="1:1" x14ac:dyDescent="0.25">
      <c r="A393257" s="14" t="s">
        <v>47</v>
      </c>
    </row>
    <row r="393258" spans="1:1" x14ac:dyDescent="0.25">
      <c r="A393258" s="14" t="s">
        <v>119</v>
      </c>
    </row>
    <row r="393259" spans="1:1" x14ac:dyDescent="0.25">
      <c r="A393259" s="14" t="s">
        <v>86</v>
      </c>
    </row>
    <row r="393260" spans="1:1" x14ac:dyDescent="0.25">
      <c r="A393260" s="13" t="s">
        <v>21</v>
      </c>
    </row>
    <row r="393261" spans="1:1" x14ac:dyDescent="0.25">
      <c r="A393261" s="14" t="s">
        <v>92</v>
      </c>
    </row>
    <row r="393262" spans="1:1" x14ac:dyDescent="0.25">
      <c r="A393262" s="14" t="s">
        <v>93</v>
      </c>
    </row>
    <row r="393263" spans="1:1" x14ac:dyDescent="0.25">
      <c r="A393263" s="14" t="s">
        <v>99</v>
      </c>
    </row>
    <row r="393264" spans="1:1" x14ac:dyDescent="0.25">
      <c r="A393264" s="14" t="s">
        <v>100</v>
      </c>
    </row>
    <row r="393265" spans="1:1" x14ac:dyDescent="0.25">
      <c r="A393265" s="13" t="s">
        <v>24</v>
      </c>
    </row>
    <row r="393266" spans="1:1" x14ac:dyDescent="0.25">
      <c r="A393266" s="13" t="s">
        <v>83</v>
      </c>
    </row>
    <row r="393267" spans="1:1" x14ac:dyDescent="0.25">
      <c r="A393267" s="13" t="s">
        <v>106</v>
      </c>
    </row>
    <row r="393268" spans="1:1" x14ac:dyDescent="0.25">
      <c r="A393268" s="13" t="s">
        <v>101</v>
      </c>
    </row>
    <row r="393269" spans="1:1" x14ac:dyDescent="0.25">
      <c r="A393269" s="13" t="s">
        <v>102</v>
      </c>
    </row>
    <row r="393270" spans="1:1" x14ac:dyDescent="0.25">
      <c r="A393270" s="13" t="s">
        <v>103</v>
      </c>
    </row>
    <row r="393271" spans="1:1" x14ac:dyDescent="0.25">
      <c r="A393271" s="13" t="s">
        <v>104</v>
      </c>
    </row>
    <row r="393272" spans="1:1" x14ac:dyDescent="0.25">
      <c r="A393272" s="13" t="s">
        <v>105</v>
      </c>
    </row>
    <row r="409602" spans="1:1" x14ac:dyDescent="0.25">
      <c r="A409602" s="13" t="s">
        <v>0</v>
      </c>
    </row>
    <row r="409603" spans="1:1" x14ac:dyDescent="0.25">
      <c r="A409603" s="13" t="s">
        <v>125</v>
      </c>
    </row>
    <row r="409604" spans="1:1" x14ac:dyDescent="0.25">
      <c r="A409604" s="13" t="s">
        <v>1</v>
      </c>
    </row>
    <row r="409605" spans="1:1" x14ac:dyDescent="0.25">
      <c r="A409605" s="13" t="s">
        <v>2</v>
      </c>
    </row>
    <row r="409606" spans="1:1" x14ac:dyDescent="0.25">
      <c r="A409606" s="14" t="s">
        <v>25</v>
      </c>
    </row>
    <row r="409607" spans="1:1" x14ac:dyDescent="0.25">
      <c r="A409607" s="13" t="s">
        <v>126</v>
      </c>
    </row>
    <row r="409608" spans="1:1" x14ac:dyDescent="0.25">
      <c r="A409608" s="13" t="s">
        <v>127</v>
      </c>
    </row>
    <row r="409609" spans="1:1" x14ac:dyDescent="0.25">
      <c r="A409609" s="13" t="s">
        <v>88</v>
      </c>
    </row>
    <row r="409610" spans="1:1" x14ac:dyDescent="0.25">
      <c r="A409610" s="13" t="s">
        <v>22</v>
      </c>
    </row>
    <row r="409611" spans="1:1" x14ac:dyDescent="0.25">
      <c r="A409611" s="13" t="s">
        <v>3</v>
      </c>
    </row>
    <row r="409612" spans="1:1" x14ac:dyDescent="0.25">
      <c r="A409612" s="15" t="s">
        <v>95</v>
      </c>
    </row>
    <row r="409613" spans="1:1" x14ac:dyDescent="0.25">
      <c r="A409613" s="15" t="s">
        <v>94</v>
      </c>
    </row>
    <row r="409614" spans="1:1" x14ac:dyDescent="0.25">
      <c r="A409614" s="15" t="s">
        <v>4</v>
      </c>
    </row>
    <row r="409615" spans="1:1" x14ac:dyDescent="0.25">
      <c r="A409615" s="15" t="s">
        <v>118</v>
      </c>
    </row>
    <row r="409616" spans="1:1" x14ac:dyDescent="0.25">
      <c r="A409616" s="15" t="s">
        <v>5</v>
      </c>
    </row>
    <row r="409617" spans="1:1" x14ac:dyDescent="0.25">
      <c r="A409617" s="15" t="s">
        <v>6</v>
      </c>
    </row>
    <row r="409618" spans="1:1" x14ac:dyDescent="0.25">
      <c r="A409618" s="15" t="s">
        <v>7</v>
      </c>
    </row>
    <row r="409619" spans="1:1" x14ac:dyDescent="0.25">
      <c r="A409619" s="15" t="s">
        <v>8</v>
      </c>
    </row>
    <row r="409620" spans="1:1" x14ac:dyDescent="0.25">
      <c r="A409620" s="15" t="s">
        <v>9</v>
      </c>
    </row>
    <row r="409621" spans="1:1" x14ac:dyDescent="0.25">
      <c r="A409621" s="15" t="s">
        <v>10</v>
      </c>
    </row>
    <row r="409622" spans="1:1" x14ac:dyDescent="0.25">
      <c r="A409622" s="15" t="s">
        <v>11</v>
      </c>
    </row>
    <row r="409623" spans="1:1" x14ac:dyDescent="0.25">
      <c r="A409623" s="15" t="s">
        <v>12</v>
      </c>
    </row>
    <row r="409624" spans="1:1" x14ac:dyDescent="0.25">
      <c r="A409624" s="15" t="s">
        <v>13</v>
      </c>
    </row>
    <row r="409625" spans="1:1" x14ac:dyDescent="0.25">
      <c r="A409625" s="15" t="s">
        <v>14</v>
      </c>
    </row>
    <row r="409626" spans="1:1" x14ac:dyDescent="0.25">
      <c r="A409626" s="13" t="s">
        <v>31</v>
      </c>
    </row>
    <row r="409627" spans="1:1" x14ac:dyDescent="0.25">
      <c r="A409627" s="13" t="s">
        <v>87</v>
      </c>
    </row>
    <row r="409628" spans="1:1" x14ac:dyDescent="0.25">
      <c r="A409628" s="15" t="s">
        <v>30</v>
      </c>
    </row>
    <row r="409629" spans="1:1" x14ac:dyDescent="0.25">
      <c r="A409629" s="15" t="s">
        <v>26</v>
      </c>
    </row>
    <row r="409630" spans="1:1" x14ac:dyDescent="0.25">
      <c r="A409630" s="15" t="s">
        <v>27</v>
      </c>
    </row>
    <row r="409631" spans="1:1" x14ac:dyDescent="0.25">
      <c r="A409631" s="15" t="s">
        <v>28</v>
      </c>
    </row>
    <row r="409632" spans="1:1" x14ac:dyDescent="0.25">
      <c r="A409632" s="15" t="s">
        <v>89</v>
      </c>
    </row>
    <row r="409633" spans="1:1" x14ac:dyDescent="0.25">
      <c r="A409633" s="15" t="s">
        <v>90</v>
      </c>
    </row>
    <row r="409634" spans="1:1" x14ac:dyDescent="0.25">
      <c r="A409634" s="15" t="s">
        <v>185</v>
      </c>
    </row>
    <row r="409635" spans="1:1" x14ac:dyDescent="0.25">
      <c r="A409635" s="15" t="s">
        <v>186</v>
      </c>
    </row>
    <row r="409636" spans="1:1" x14ac:dyDescent="0.25">
      <c r="A409636" s="15" t="s">
        <v>187</v>
      </c>
    </row>
    <row r="409637" spans="1:1" x14ac:dyDescent="0.25">
      <c r="A409637" s="15" t="s">
        <v>188</v>
      </c>
    </row>
    <row r="409638" spans="1:1" x14ac:dyDescent="0.25">
      <c r="A409638" s="15" t="s">
        <v>189</v>
      </c>
    </row>
    <row r="409639" spans="1:1" x14ac:dyDescent="0.25">
      <c r="A409639" s="15" t="s">
        <v>190</v>
      </c>
    </row>
    <row r="409640" spans="1:1" x14ac:dyDescent="0.25">
      <c r="A409640" s="15" t="s">
        <v>191</v>
      </c>
    </row>
    <row r="409641" spans="1:1" x14ac:dyDescent="0.25">
      <c r="A409641" s="14" t="s">
        <v>47</v>
      </c>
    </row>
    <row r="409642" spans="1:1" x14ac:dyDescent="0.25">
      <c r="A409642" s="14" t="s">
        <v>119</v>
      </c>
    </row>
    <row r="409643" spans="1:1" x14ac:dyDescent="0.25">
      <c r="A409643" s="14" t="s">
        <v>86</v>
      </c>
    </row>
    <row r="409644" spans="1:1" x14ac:dyDescent="0.25">
      <c r="A409644" s="13" t="s">
        <v>21</v>
      </c>
    </row>
    <row r="409645" spans="1:1" x14ac:dyDescent="0.25">
      <c r="A409645" s="14" t="s">
        <v>92</v>
      </c>
    </row>
    <row r="409646" spans="1:1" x14ac:dyDescent="0.25">
      <c r="A409646" s="14" t="s">
        <v>93</v>
      </c>
    </row>
    <row r="409647" spans="1:1" x14ac:dyDescent="0.25">
      <c r="A409647" s="14" t="s">
        <v>99</v>
      </c>
    </row>
    <row r="409648" spans="1:1" x14ac:dyDescent="0.25">
      <c r="A409648" s="14" t="s">
        <v>100</v>
      </c>
    </row>
    <row r="409649" spans="1:1" x14ac:dyDescent="0.25">
      <c r="A409649" s="13" t="s">
        <v>24</v>
      </c>
    </row>
    <row r="409650" spans="1:1" x14ac:dyDescent="0.25">
      <c r="A409650" s="13" t="s">
        <v>83</v>
      </c>
    </row>
    <row r="409651" spans="1:1" x14ac:dyDescent="0.25">
      <c r="A409651" s="13" t="s">
        <v>106</v>
      </c>
    </row>
    <row r="409652" spans="1:1" x14ac:dyDescent="0.25">
      <c r="A409652" s="13" t="s">
        <v>101</v>
      </c>
    </row>
    <row r="409653" spans="1:1" x14ac:dyDescent="0.25">
      <c r="A409653" s="13" t="s">
        <v>102</v>
      </c>
    </row>
    <row r="409654" spans="1:1" x14ac:dyDescent="0.25">
      <c r="A409654" s="13" t="s">
        <v>103</v>
      </c>
    </row>
    <row r="409655" spans="1:1" x14ac:dyDescent="0.25">
      <c r="A409655" s="13" t="s">
        <v>104</v>
      </c>
    </row>
    <row r="409656" spans="1:1" x14ac:dyDescent="0.25">
      <c r="A409656" s="13" t="s">
        <v>105</v>
      </c>
    </row>
    <row r="425986" spans="1:1" x14ac:dyDescent="0.25">
      <c r="A425986" s="13" t="s">
        <v>0</v>
      </c>
    </row>
    <row r="425987" spans="1:1" x14ac:dyDescent="0.25">
      <c r="A425987" s="13" t="s">
        <v>125</v>
      </c>
    </row>
    <row r="425988" spans="1:1" x14ac:dyDescent="0.25">
      <c r="A425988" s="13" t="s">
        <v>1</v>
      </c>
    </row>
    <row r="425989" spans="1:1" x14ac:dyDescent="0.25">
      <c r="A425989" s="13" t="s">
        <v>2</v>
      </c>
    </row>
    <row r="425990" spans="1:1" x14ac:dyDescent="0.25">
      <c r="A425990" s="14" t="s">
        <v>25</v>
      </c>
    </row>
    <row r="425991" spans="1:1" x14ac:dyDescent="0.25">
      <c r="A425991" s="13" t="s">
        <v>126</v>
      </c>
    </row>
    <row r="425992" spans="1:1" x14ac:dyDescent="0.25">
      <c r="A425992" s="13" t="s">
        <v>127</v>
      </c>
    </row>
    <row r="425993" spans="1:1" x14ac:dyDescent="0.25">
      <c r="A425993" s="13" t="s">
        <v>88</v>
      </c>
    </row>
    <row r="425994" spans="1:1" x14ac:dyDescent="0.25">
      <c r="A425994" s="13" t="s">
        <v>22</v>
      </c>
    </row>
    <row r="425995" spans="1:1" x14ac:dyDescent="0.25">
      <c r="A425995" s="13" t="s">
        <v>3</v>
      </c>
    </row>
    <row r="425996" spans="1:1" x14ac:dyDescent="0.25">
      <c r="A425996" s="15" t="s">
        <v>95</v>
      </c>
    </row>
    <row r="425997" spans="1:1" x14ac:dyDescent="0.25">
      <c r="A425997" s="15" t="s">
        <v>94</v>
      </c>
    </row>
    <row r="425998" spans="1:1" x14ac:dyDescent="0.25">
      <c r="A425998" s="15" t="s">
        <v>4</v>
      </c>
    </row>
    <row r="425999" spans="1:1" x14ac:dyDescent="0.25">
      <c r="A425999" s="15" t="s">
        <v>118</v>
      </c>
    </row>
    <row r="426000" spans="1:1" x14ac:dyDescent="0.25">
      <c r="A426000" s="15" t="s">
        <v>5</v>
      </c>
    </row>
    <row r="426001" spans="1:1" x14ac:dyDescent="0.25">
      <c r="A426001" s="15" t="s">
        <v>6</v>
      </c>
    </row>
    <row r="426002" spans="1:1" x14ac:dyDescent="0.25">
      <c r="A426002" s="15" t="s">
        <v>7</v>
      </c>
    </row>
    <row r="426003" spans="1:1" x14ac:dyDescent="0.25">
      <c r="A426003" s="15" t="s">
        <v>8</v>
      </c>
    </row>
    <row r="426004" spans="1:1" x14ac:dyDescent="0.25">
      <c r="A426004" s="15" t="s">
        <v>9</v>
      </c>
    </row>
    <row r="426005" spans="1:1" x14ac:dyDescent="0.25">
      <c r="A426005" s="15" t="s">
        <v>10</v>
      </c>
    </row>
    <row r="426006" spans="1:1" x14ac:dyDescent="0.25">
      <c r="A426006" s="15" t="s">
        <v>11</v>
      </c>
    </row>
    <row r="426007" spans="1:1" x14ac:dyDescent="0.25">
      <c r="A426007" s="15" t="s">
        <v>12</v>
      </c>
    </row>
    <row r="426008" spans="1:1" x14ac:dyDescent="0.25">
      <c r="A426008" s="15" t="s">
        <v>13</v>
      </c>
    </row>
    <row r="426009" spans="1:1" x14ac:dyDescent="0.25">
      <c r="A426009" s="15" t="s">
        <v>14</v>
      </c>
    </row>
    <row r="426010" spans="1:1" x14ac:dyDescent="0.25">
      <c r="A426010" s="13" t="s">
        <v>31</v>
      </c>
    </row>
    <row r="426011" spans="1:1" x14ac:dyDescent="0.25">
      <c r="A426011" s="13" t="s">
        <v>87</v>
      </c>
    </row>
    <row r="426012" spans="1:1" x14ac:dyDescent="0.25">
      <c r="A426012" s="15" t="s">
        <v>30</v>
      </c>
    </row>
    <row r="426013" spans="1:1" x14ac:dyDescent="0.25">
      <c r="A426013" s="15" t="s">
        <v>26</v>
      </c>
    </row>
    <row r="426014" spans="1:1" x14ac:dyDescent="0.25">
      <c r="A426014" s="15" t="s">
        <v>27</v>
      </c>
    </row>
    <row r="426015" spans="1:1" x14ac:dyDescent="0.25">
      <c r="A426015" s="15" t="s">
        <v>28</v>
      </c>
    </row>
    <row r="426016" spans="1:1" x14ac:dyDescent="0.25">
      <c r="A426016" s="15" t="s">
        <v>89</v>
      </c>
    </row>
    <row r="426017" spans="1:1" x14ac:dyDescent="0.25">
      <c r="A426017" s="15" t="s">
        <v>90</v>
      </c>
    </row>
    <row r="426018" spans="1:1" x14ac:dyDescent="0.25">
      <c r="A426018" s="15" t="s">
        <v>185</v>
      </c>
    </row>
    <row r="426019" spans="1:1" x14ac:dyDescent="0.25">
      <c r="A426019" s="15" t="s">
        <v>186</v>
      </c>
    </row>
    <row r="426020" spans="1:1" x14ac:dyDescent="0.25">
      <c r="A426020" s="15" t="s">
        <v>187</v>
      </c>
    </row>
    <row r="426021" spans="1:1" x14ac:dyDescent="0.25">
      <c r="A426021" s="15" t="s">
        <v>188</v>
      </c>
    </row>
    <row r="426022" spans="1:1" x14ac:dyDescent="0.25">
      <c r="A426022" s="15" t="s">
        <v>189</v>
      </c>
    </row>
    <row r="426023" spans="1:1" x14ac:dyDescent="0.25">
      <c r="A426023" s="15" t="s">
        <v>190</v>
      </c>
    </row>
    <row r="426024" spans="1:1" x14ac:dyDescent="0.25">
      <c r="A426024" s="15" t="s">
        <v>191</v>
      </c>
    </row>
    <row r="426025" spans="1:1" x14ac:dyDescent="0.25">
      <c r="A426025" s="14" t="s">
        <v>47</v>
      </c>
    </row>
    <row r="426026" spans="1:1" x14ac:dyDescent="0.25">
      <c r="A426026" s="14" t="s">
        <v>119</v>
      </c>
    </row>
    <row r="426027" spans="1:1" x14ac:dyDescent="0.25">
      <c r="A426027" s="14" t="s">
        <v>86</v>
      </c>
    </row>
    <row r="426028" spans="1:1" x14ac:dyDescent="0.25">
      <c r="A426028" s="13" t="s">
        <v>21</v>
      </c>
    </row>
    <row r="426029" spans="1:1" x14ac:dyDescent="0.25">
      <c r="A426029" s="14" t="s">
        <v>92</v>
      </c>
    </row>
    <row r="426030" spans="1:1" x14ac:dyDescent="0.25">
      <c r="A426030" s="14" t="s">
        <v>93</v>
      </c>
    </row>
    <row r="426031" spans="1:1" x14ac:dyDescent="0.25">
      <c r="A426031" s="14" t="s">
        <v>99</v>
      </c>
    </row>
    <row r="426032" spans="1:1" x14ac:dyDescent="0.25">
      <c r="A426032" s="14" t="s">
        <v>100</v>
      </c>
    </row>
    <row r="426033" spans="1:1" x14ac:dyDescent="0.25">
      <c r="A426033" s="13" t="s">
        <v>24</v>
      </c>
    </row>
    <row r="426034" spans="1:1" x14ac:dyDescent="0.25">
      <c r="A426034" s="13" t="s">
        <v>83</v>
      </c>
    </row>
    <row r="426035" spans="1:1" x14ac:dyDescent="0.25">
      <c r="A426035" s="13" t="s">
        <v>106</v>
      </c>
    </row>
    <row r="426036" spans="1:1" x14ac:dyDescent="0.25">
      <c r="A426036" s="13" t="s">
        <v>101</v>
      </c>
    </row>
    <row r="426037" spans="1:1" x14ac:dyDescent="0.25">
      <c r="A426037" s="13" t="s">
        <v>102</v>
      </c>
    </row>
    <row r="426038" spans="1:1" x14ac:dyDescent="0.25">
      <c r="A426038" s="13" t="s">
        <v>103</v>
      </c>
    </row>
    <row r="426039" spans="1:1" x14ac:dyDescent="0.25">
      <c r="A426039" s="13" t="s">
        <v>104</v>
      </c>
    </row>
    <row r="426040" spans="1:1" x14ac:dyDescent="0.25">
      <c r="A426040" s="13" t="s">
        <v>105</v>
      </c>
    </row>
    <row r="442370" spans="1:1" x14ac:dyDescent="0.25">
      <c r="A442370" s="13" t="s">
        <v>0</v>
      </c>
    </row>
    <row r="442371" spans="1:1" x14ac:dyDescent="0.25">
      <c r="A442371" s="13" t="s">
        <v>125</v>
      </c>
    </row>
    <row r="442372" spans="1:1" x14ac:dyDescent="0.25">
      <c r="A442372" s="13" t="s">
        <v>1</v>
      </c>
    </row>
    <row r="442373" spans="1:1" x14ac:dyDescent="0.25">
      <c r="A442373" s="13" t="s">
        <v>2</v>
      </c>
    </row>
    <row r="442374" spans="1:1" x14ac:dyDescent="0.25">
      <c r="A442374" s="14" t="s">
        <v>25</v>
      </c>
    </row>
    <row r="442375" spans="1:1" x14ac:dyDescent="0.25">
      <c r="A442375" s="13" t="s">
        <v>126</v>
      </c>
    </row>
    <row r="442376" spans="1:1" x14ac:dyDescent="0.25">
      <c r="A442376" s="13" t="s">
        <v>127</v>
      </c>
    </row>
    <row r="442377" spans="1:1" x14ac:dyDescent="0.25">
      <c r="A442377" s="13" t="s">
        <v>88</v>
      </c>
    </row>
    <row r="442378" spans="1:1" x14ac:dyDescent="0.25">
      <c r="A442378" s="13" t="s">
        <v>22</v>
      </c>
    </row>
    <row r="442379" spans="1:1" x14ac:dyDescent="0.25">
      <c r="A442379" s="13" t="s">
        <v>3</v>
      </c>
    </row>
    <row r="442380" spans="1:1" x14ac:dyDescent="0.25">
      <c r="A442380" s="15" t="s">
        <v>95</v>
      </c>
    </row>
    <row r="442381" spans="1:1" x14ac:dyDescent="0.25">
      <c r="A442381" s="15" t="s">
        <v>94</v>
      </c>
    </row>
    <row r="442382" spans="1:1" x14ac:dyDescent="0.25">
      <c r="A442382" s="15" t="s">
        <v>4</v>
      </c>
    </row>
    <row r="442383" spans="1:1" x14ac:dyDescent="0.25">
      <c r="A442383" s="15" t="s">
        <v>118</v>
      </c>
    </row>
    <row r="442384" spans="1:1" x14ac:dyDescent="0.25">
      <c r="A442384" s="15" t="s">
        <v>5</v>
      </c>
    </row>
    <row r="442385" spans="1:1" x14ac:dyDescent="0.25">
      <c r="A442385" s="15" t="s">
        <v>6</v>
      </c>
    </row>
    <row r="442386" spans="1:1" x14ac:dyDescent="0.25">
      <c r="A442386" s="15" t="s">
        <v>7</v>
      </c>
    </row>
    <row r="442387" spans="1:1" x14ac:dyDescent="0.25">
      <c r="A442387" s="15" t="s">
        <v>8</v>
      </c>
    </row>
    <row r="442388" spans="1:1" x14ac:dyDescent="0.25">
      <c r="A442388" s="15" t="s">
        <v>9</v>
      </c>
    </row>
    <row r="442389" spans="1:1" x14ac:dyDescent="0.25">
      <c r="A442389" s="15" t="s">
        <v>10</v>
      </c>
    </row>
    <row r="442390" spans="1:1" x14ac:dyDescent="0.25">
      <c r="A442390" s="15" t="s">
        <v>11</v>
      </c>
    </row>
    <row r="442391" spans="1:1" x14ac:dyDescent="0.25">
      <c r="A442391" s="15" t="s">
        <v>12</v>
      </c>
    </row>
    <row r="442392" spans="1:1" x14ac:dyDescent="0.25">
      <c r="A442392" s="15" t="s">
        <v>13</v>
      </c>
    </row>
    <row r="442393" spans="1:1" x14ac:dyDescent="0.25">
      <c r="A442393" s="15" t="s">
        <v>14</v>
      </c>
    </row>
    <row r="442394" spans="1:1" x14ac:dyDescent="0.25">
      <c r="A442394" s="13" t="s">
        <v>31</v>
      </c>
    </row>
    <row r="442395" spans="1:1" x14ac:dyDescent="0.25">
      <c r="A442395" s="13" t="s">
        <v>87</v>
      </c>
    </row>
    <row r="442396" spans="1:1" x14ac:dyDescent="0.25">
      <c r="A442396" s="15" t="s">
        <v>30</v>
      </c>
    </row>
    <row r="442397" spans="1:1" x14ac:dyDescent="0.25">
      <c r="A442397" s="15" t="s">
        <v>26</v>
      </c>
    </row>
    <row r="442398" spans="1:1" x14ac:dyDescent="0.25">
      <c r="A442398" s="15" t="s">
        <v>27</v>
      </c>
    </row>
    <row r="442399" spans="1:1" x14ac:dyDescent="0.25">
      <c r="A442399" s="15" t="s">
        <v>28</v>
      </c>
    </row>
    <row r="442400" spans="1:1" x14ac:dyDescent="0.25">
      <c r="A442400" s="15" t="s">
        <v>89</v>
      </c>
    </row>
    <row r="442401" spans="1:1" x14ac:dyDescent="0.25">
      <c r="A442401" s="15" t="s">
        <v>90</v>
      </c>
    </row>
    <row r="442402" spans="1:1" x14ac:dyDescent="0.25">
      <c r="A442402" s="15" t="s">
        <v>185</v>
      </c>
    </row>
    <row r="442403" spans="1:1" x14ac:dyDescent="0.25">
      <c r="A442403" s="15" t="s">
        <v>186</v>
      </c>
    </row>
    <row r="442404" spans="1:1" x14ac:dyDescent="0.25">
      <c r="A442404" s="15" t="s">
        <v>187</v>
      </c>
    </row>
    <row r="442405" spans="1:1" x14ac:dyDescent="0.25">
      <c r="A442405" s="15" t="s">
        <v>188</v>
      </c>
    </row>
    <row r="442406" spans="1:1" x14ac:dyDescent="0.25">
      <c r="A442406" s="15" t="s">
        <v>189</v>
      </c>
    </row>
    <row r="442407" spans="1:1" x14ac:dyDescent="0.25">
      <c r="A442407" s="15" t="s">
        <v>190</v>
      </c>
    </row>
    <row r="442408" spans="1:1" x14ac:dyDescent="0.25">
      <c r="A442408" s="15" t="s">
        <v>191</v>
      </c>
    </row>
    <row r="442409" spans="1:1" x14ac:dyDescent="0.25">
      <c r="A442409" s="14" t="s">
        <v>47</v>
      </c>
    </row>
    <row r="442410" spans="1:1" x14ac:dyDescent="0.25">
      <c r="A442410" s="14" t="s">
        <v>119</v>
      </c>
    </row>
    <row r="442411" spans="1:1" x14ac:dyDescent="0.25">
      <c r="A442411" s="14" t="s">
        <v>86</v>
      </c>
    </row>
    <row r="442412" spans="1:1" x14ac:dyDescent="0.25">
      <c r="A442412" s="13" t="s">
        <v>21</v>
      </c>
    </row>
    <row r="442413" spans="1:1" x14ac:dyDescent="0.25">
      <c r="A442413" s="14" t="s">
        <v>92</v>
      </c>
    </row>
    <row r="442414" spans="1:1" x14ac:dyDescent="0.25">
      <c r="A442414" s="14" t="s">
        <v>93</v>
      </c>
    </row>
    <row r="442415" spans="1:1" x14ac:dyDescent="0.25">
      <c r="A442415" s="14" t="s">
        <v>99</v>
      </c>
    </row>
    <row r="442416" spans="1:1" x14ac:dyDescent="0.25">
      <c r="A442416" s="14" t="s">
        <v>100</v>
      </c>
    </row>
    <row r="442417" spans="1:1" x14ac:dyDescent="0.25">
      <c r="A442417" s="13" t="s">
        <v>24</v>
      </c>
    </row>
    <row r="442418" spans="1:1" x14ac:dyDescent="0.25">
      <c r="A442418" s="13" t="s">
        <v>83</v>
      </c>
    </row>
    <row r="442419" spans="1:1" x14ac:dyDescent="0.25">
      <c r="A442419" s="13" t="s">
        <v>106</v>
      </c>
    </row>
    <row r="442420" spans="1:1" x14ac:dyDescent="0.25">
      <c r="A442420" s="13" t="s">
        <v>101</v>
      </c>
    </row>
    <row r="442421" spans="1:1" x14ac:dyDescent="0.25">
      <c r="A442421" s="13" t="s">
        <v>102</v>
      </c>
    </row>
    <row r="442422" spans="1:1" x14ac:dyDescent="0.25">
      <c r="A442422" s="13" t="s">
        <v>103</v>
      </c>
    </row>
    <row r="442423" spans="1:1" x14ac:dyDescent="0.25">
      <c r="A442423" s="13" t="s">
        <v>104</v>
      </c>
    </row>
    <row r="442424" spans="1:1" x14ac:dyDescent="0.25">
      <c r="A442424" s="13" t="s">
        <v>105</v>
      </c>
    </row>
    <row r="458754" spans="1:1" x14ac:dyDescent="0.25">
      <c r="A458754" s="13" t="s">
        <v>0</v>
      </c>
    </row>
    <row r="458755" spans="1:1" x14ac:dyDescent="0.25">
      <c r="A458755" s="13" t="s">
        <v>125</v>
      </c>
    </row>
    <row r="458756" spans="1:1" x14ac:dyDescent="0.25">
      <c r="A458756" s="13" t="s">
        <v>1</v>
      </c>
    </row>
    <row r="458757" spans="1:1" x14ac:dyDescent="0.25">
      <c r="A458757" s="13" t="s">
        <v>2</v>
      </c>
    </row>
    <row r="458758" spans="1:1" x14ac:dyDescent="0.25">
      <c r="A458758" s="14" t="s">
        <v>25</v>
      </c>
    </row>
    <row r="458759" spans="1:1" x14ac:dyDescent="0.25">
      <c r="A458759" s="13" t="s">
        <v>126</v>
      </c>
    </row>
    <row r="458760" spans="1:1" x14ac:dyDescent="0.25">
      <c r="A458760" s="13" t="s">
        <v>127</v>
      </c>
    </row>
    <row r="458761" spans="1:1" x14ac:dyDescent="0.25">
      <c r="A458761" s="13" t="s">
        <v>88</v>
      </c>
    </row>
    <row r="458762" spans="1:1" x14ac:dyDescent="0.25">
      <c r="A458762" s="13" t="s">
        <v>22</v>
      </c>
    </row>
    <row r="458763" spans="1:1" x14ac:dyDescent="0.25">
      <c r="A458763" s="13" t="s">
        <v>3</v>
      </c>
    </row>
    <row r="458764" spans="1:1" x14ac:dyDescent="0.25">
      <c r="A458764" s="15" t="s">
        <v>95</v>
      </c>
    </row>
    <row r="458765" spans="1:1" x14ac:dyDescent="0.25">
      <c r="A458765" s="15" t="s">
        <v>94</v>
      </c>
    </row>
    <row r="458766" spans="1:1" x14ac:dyDescent="0.25">
      <c r="A458766" s="15" t="s">
        <v>4</v>
      </c>
    </row>
    <row r="458767" spans="1:1" x14ac:dyDescent="0.25">
      <c r="A458767" s="15" t="s">
        <v>118</v>
      </c>
    </row>
    <row r="458768" spans="1:1" x14ac:dyDescent="0.25">
      <c r="A458768" s="15" t="s">
        <v>5</v>
      </c>
    </row>
    <row r="458769" spans="1:1" x14ac:dyDescent="0.25">
      <c r="A458769" s="15" t="s">
        <v>6</v>
      </c>
    </row>
    <row r="458770" spans="1:1" x14ac:dyDescent="0.25">
      <c r="A458770" s="15" t="s">
        <v>7</v>
      </c>
    </row>
    <row r="458771" spans="1:1" x14ac:dyDescent="0.25">
      <c r="A458771" s="15" t="s">
        <v>8</v>
      </c>
    </row>
    <row r="458772" spans="1:1" x14ac:dyDescent="0.25">
      <c r="A458772" s="15" t="s">
        <v>9</v>
      </c>
    </row>
    <row r="458773" spans="1:1" x14ac:dyDescent="0.25">
      <c r="A458773" s="15" t="s">
        <v>10</v>
      </c>
    </row>
    <row r="458774" spans="1:1" x14ac:dyDescent="0.25">
      <c r="A458774" s="15" t="s">
        <v>11</v>
      </c>
    </row>
    <row r="458775" spans="1:1" x14ac:dyDescent="0.25">
      <c r="A458775" s="15" t="s">
        <v>12</v>
      </c>
    </row>
    <row r="458776" spans="1:1" x14ac:dyDescent="0.25">
      <c r="A458776" s="15" t="s">
        <v>13</v>
      </c>
    </row>
    <row r="458777" spans="1:1" x14ac:dyDescent="0.25">
      <c r="A458777" s="15" t="s">
        <v>14</v>
      </c>
    </row>
    <row r="458778" spans="1:1" x14ac:dyDescent="0.25">
      <c r="A458778" s="13" t="s">
        <v>31</v>
      </c>
    </row>
    <row r="458779" spans="1:1" x14ac:dyDescent="0.25">
      <c r="A458779" s="13" t="s">
        <v>87</v>
      </c>
    </row>
    <row r="458780" spans="1:1" x14ac:dyDescent="0.25">
      <c r="A458780" s="15" t="s">
        <v>30</v>
      </c>
    </row>
    <row r="458781" spans="1:1" x14ac:dyDescent="0.25">
      <c r="A458781" s="15" t="s">
        <v>26</v>
      </c>
    </row>
    <row r="458782" spans="1:1" x14ac:dyDescent="0.25">
      <c r="A458782" s="15" t="s">
        <v>27</v>
      </c>
    </row>
    <row r="458783" spans="1:1" x14ac:dyDescent="0.25">
      <c r="A458783" s="15" t="s">
        <v>28</v>
      </c>
    </row>
    <row r="458784" spans="1:1" x14ac:dyDescent="0.25">
      <c r="A458784" s="15" t="s">
        <v>89</v>
      </c>
    </row>
    <row r="458785" spans="1:1" x14ac:dyDescent="0.25">
      <c r="A458785" s="15" t="s">
        <v>90</v>
      </c>
    </row>
    <row r="458786" spans="1:1" x14ac:dyDescent="0.25">
      <c r="A458786" s="15" t="s">
        <v>185</v>
      </c>
    </row>
    <row r="458787" spans="1:1" x14ac:dyDescent="0.25">
      <c r="A458787" s="15" t="s">
        <v>186</v>
      </c>
    </row>
    <row r="458788" spans="1:1" x14ac:dyDescent="0.25">
      <c r="A458788" s="15" t="s">
        <v>187</v>
      </c>
    </row>
    <row r="458789" spans="1:1" x14ac:dyDescent="0.25">
      <c r="A458789" s="15" t="s">
        <v>188</v>
      </c>
    </row>
    <row r="458790" spans="1:1" x14ac:dyDescent="0.25">
      <c r="A458790" s="15" t="s">
        <v>189</v>
      </c>
    </row>
    <row r="458791" spans="1:1" x14ac:dyDescent="0.25">
      <c r="A458791" s="15" t="s">
        <v>190</v>
      </c>
    </row>
    <row r="458792" spans="1:1" x14ac:dyDescent="0.25">
      <c r="A458792" s="15" t="s">
        <v>191</v>
      </c>
    </row>
    <row r="458793" spans="1:1" x14ac:dyDescent="0.25">
      <c r="A458793" s="14" t="s">
        <v>47</v>
      </c>
    </row>
    <row r="458794" spans="1:1" x14ac:dyDescent="0.25">
      <c r="A458794" s="14" t="s">
        <v>119</v>
      </c>
    </row>
    <row r="458795" spans="1:1" x14ac:dyDescent="0.25">
      <c r="A458795" s="14" t="s">
        <v>86</v>
      </c>
    </row>
    <row r="458796" spans="1:1" x14ac:dyDescent="0.25">
      <c r="A458796" s="13" t="s">
        <v>21</v>
      </c>
    </row>
    <row r="458797" spans="1:1" x14ac:dyDescent="0.25">
      <c r="A458797" s="14" t="s">
        <v>92</v>
      </c>
    </row>
    <row r="458798" spans="1:1" x14ac:dyDescent="0.25">
      <c r="A458798" s="14" t="s">
        <v>93</v>
      </c>
    </row>
    <row r="458799" spans="1:1" x14ac:dyDescent="0.25">
      <c r="A458799" s="14" t="s">
        <v>99</v>
      </c>
    </row>
    <row r="458800" spans="1:1" x14ac:dyDescent="0.25">
      <c r="A458800" s="14" t="s">
        <v>100</v>
      </c>
    </row>
    <row r="458801" spans="1:1" x14ac:dyDescent="0.25">
      <c r="A458801" s="13" t="s">
        <v>24</v>
      </c>
    </row>
    <row r="458802" spans="1:1" x14ac:dyDescent="0.25">
      <c r="A458802" s="13" t="s">
        <v>83</v>
      </c>
    </row>
    <row r="458803" spans="1:1" x14ac:dyDescent="0.25">
      <c r="A458803" s="13" t="s">
        <v>106</v>
      </c>
    </row>
    <row r="458804" spans="1:1" x14ac:dyDescent="0.25">
      <c r="A458804" s="13" t="s">
        <v>101</v>
      </c>
    </row>
    <row r="458805" spans="1:1" x14ac:dyDescent="0.25">
      <c r="A458805" s="13" t="s">
        <v>102</v>
      </c>
    </row>
    <row r="458806" spans="1:1" x14ac:dyDescent="0.25">
      <c r="A458806" s="13" t="s">
        <v>103</v>
      </c>
    </row>
    <row r="458807" spans="1:1" x14ac:dyDescent="0.25">
      <c r="A458807" s="13" t="s">
        <v>104</v>
      </c>
    </row>
    <row r="458808" spans="1:1" x14ac:dyDescent="0.25">
      <c r="A458808" s="13" t="s">
        <v>105</v>
      </c>
    </row>
    <row r="475138" spans="1:1" x14ac:dyDescent="0.25">
      <c r="A475138" s="13" t="s">
        <v>0</v>
      </c>
    </row>
    <row r="475139" spans="1:1" x14ac:dyDescent="0.25">
      <c r="A475139" s="13" t="s">
        <v>125</v>
      </c>
    </row>
    <row r="475140" spans="1:1" x14ac:dyDescent="0.25">
      <c r="A475140" s="13" t="s">
        <v>1</v>
      </c>
    </row>
    <row r="475141" spans="1:1" x14ac:dyDescent="0.25">
      <c r="A475141" s="13" t="s">
        <v>2</v>
      </c>
    </row>
    <row r="475142" spans="1:1" x14ac:dyDescent="0.25">
      <c r="A475142" s="14" t="s">
        <v>25</v>
      </c>
    </row>
    <row r="475143" spans="1:1" x14ac:dyDescent="0.25">
      <c r="A475143" s="13" t="s">
        <v>126</v>
      </c>
    </row>
    <row r="475144" spans="1:1" x14ac:dyDescent="0.25">
      <c r="A475144" s="13" t="s">
        <v>127</v>
      </c>
    </row>
    <row r="475145" spans="1:1" x14ac:dyDescent="0.25">
      <c r="A475145" s="13" t="s">
        <v>88</v>
      </c>
    </row>
    <row r="475146" spans="1:1" x14ac:dyDescent="0.25">
      <c r="A475146" s="13" t="s">
        <v>22</v>
      </c>
    </row>
    <row r="475147" spans="1:1" x14ac:dyDescent="0.25">
      <c r="A475147" s="13" t="s">
        <v>3</v>
      </c>
    </row>
    <row r="475148" spans="1:1" x14ac:dyDescent="0.25">
      <c r="A475148" s="15" t="s">
        <v>95</v>
      </c>
    </row>
    <row r="475149" spans="1:1" x14ac:dyDescent="0.25">
      <c r="A475149" s="15" t="s">
        <v>94</v>
      </c>
    </row>
    <row r="475150" spans="1:1" x14ac:dyDescent="0.25">
      <c r="A475150" s="15" t="s">
        <v>4</v>
      </c>
    </row>
    <row r="475151" spans="1:1" x14ac:dyDescent="0.25">
      <c r="A475151" s="15" t="s">
        <v>118</v>
      </c>
    </row>
    <row r="475152" spans="1:1" x14ac:dyDescent="0.25">
      <c r="A475152" s="15" t="s">
        <v>5</v>
      </c>
    </row>
    <row r="475153" spans="1:1" x14ac:dyDescent="0.25">
      <c r="A475153" s="15" t="s">
        <v>6</v>
      </c>
    </row>
    <row r="475154" spans="1:1" x14ac:dyDescent="0.25">
      <c r="A475154" s="15" t="s">
        <v>7</v>
      </c>
    </row>
    <row r="475155" spans="1:1" x14ac:dyDescent="0.25">
      <c r="A475155" s="15" t="s">
        <v>8</v>
      </c>
    </row>
    <row r="475156" spans="1:1" x14ac:dyDescent="0.25">
      <c r="A475156" s="15" t="s">
        <v>9</v>
      </c>
    </row>
    <row r="475157" spans="1:1" x14ac:dyDescent="0.25">
      <c r="A475157" s="15" t="s">
        <v>10</v>
      </c>
    </row>
    <row r="475158" spans="1:1" x14ac:dyDescent="0.25">
      <c r="A475158" s="15" t="s">
        <v>11</v>
      </c>
    </row>
    <row r="475159" spans="1:1" x14ac:dyDescent="0.25">
      <c r="A475159" s="15" t="s">
        <v>12</v>
      </c>
    </row>
    <row r="475160" spans="1:1" x14ac:dyDescent="0.25">
      <c r="A475160" s="15" t="s">
        <v>13</v>
      </c>
    </row>
    <row r="475161" spans="1:1" x14ac:dyDescent="0.25">
      <c r="A475161" s="15" t="s">
        <v>14</v>
      </c>
    </row>
    <row r="475162" spans="1:1" x14ac:dyDescent="0.25">
      <c r="A475162" s="13" t="s">
        <v>31</v>
      </c>
    </row>
    <row r="475163" spans="1:1" x14ac:dyDescent="0.25">
      <c r="A475163" s="13" t="s">
        <v>87</v>
      </c>
    </row>
    <row r="475164" spans="1:1" x14ac:dyDescent="0.25">
      <c r="A475164" s="15" t="s">
        <v>30</v>
      </c>
    </row>
    <row r="475165" spans="1:1" x14ac:dyDescent="0.25">
      <c r="A475165" s="15" t="s">
        <v>26</v>
      </c>
    </row>
    <row r="475166" spans="1:1" x14ac:dyDescent="0.25">
      <c r="A475166" s="15" t="s">
        <v>27</v>
      </c>
    </row>
    <row r="475167" spans="1:1" x14ac:dyDescent="0.25">
      <c r="A475167" s="15" t="s">
        <v>28</v>
      </c>
    </row>
    <row r="475168" spans="1:1" x14ac:dyDescent="0.25">
      <c r="A475168" s="15" t="s">
        <v>89</v>
      </c>
    </row>
    <row r="475169" spans="1:1" x14ac:dyDescent="0.25">
      <c r="A475169" s="15" t="s">
        <v>90</v>
      </c>
    </row>
    <row r="475170" spans="1:1" x14ac:dyDescent="0.25">
      <c r="A475170" s="15" t="s">
        <v>185</v>
      </c>
    </row>
    <row r="475171" spans="1:1" x14ac:dyDescent="0.25">
      <c r="A475171" s="15" t="s">
        <v>186</v>
      </c>
    </row>
    <row r="475172" spans="1:1" x14ac:dyDescent="0.25">
      <c r="A475172" s="15" t="s">
        <v>187</v>
      </c>
    </row>
    <row r="475173" spans="1:1" x14ac:dyDescent="0.25">
      <c r="A475173" s="15" t="s">
        <v>188</v>
      </c>
    </row>
    <row r="475174" spans="1:1" x14ac:dyDescent="0.25">
      <c r="A475174" s="15" t="s">
        <v>189</v>
      </c>
    </row>
    <row r="475175" spans="1:1" x14ac:dyDescent="0.25">
      <c r="A475175" s="15" t="s">
        <v>190</v>
      </c>
    </row>
    <row r="475176" spans="1:1" x14ac:dyDescent="0.25">
      <c r="A475176" s="15" t="s">
        <v>191</v>
      </c>
    </row>
    <row r="475177" spans="1:1" x14ac:dyDescent="0.25">
      <c r="A475177" s="14" t="s">
        <v>47</v>
      </c>
    </row>
    <row r="475178" spans="1:1" x14ac:dyDescent="0.25">
      <c r="A475178" s="14" t="s">
        <v>119</v>
      </c>
    </row>
    <row r="475179" spans="1:1" x14ac:dyDescent="0.25">
      <c r="A475179" s="14" t="s">
        <v>86</v>
      </c>
    </row>
    <row r="475180" spans="1:1" x14ac:dyDescent="0.25">
      <c r="A475180" s="13" t="s">
        <v>21</v>
      </c>
    </row>
    <row r="475181" spans="1:1" x14ac:dyDescent="0.25">
      <c r="A475181" s="14" t="s">
        <v>92</v>
      </c>
    </row>
    <row r="475182" spans="1:1" x14ac:dyDescent="0.25">
      <c r="A475182" s="14" t="s">
        <v>93</v>
      </c>
    </row>
    <row r="475183" spans="1:1" x14ac:dyDescent="0.25">
      <c r="A475183" s="14" t="s">
        <v>99</v>
      </c>
    </row>
    <row r="475184" spans="1:1" x14ac:dyDescent="0.25">
      <c r="A475184" s="14" t="s">
        <v>100</v>
      </c>
    </row>
    <row r="475185" spans="1:1" x14ac:dyDescent="0.25">
      <c r="A475185" s="13" t="s">
        <v>24</v>
      </c>
    </row>
    <row r="475186" spans="1:1" x14ac:dyDescent="0.25">
      <c r="A475186" s="13" t="s">
        <v>83</v>
      </c>
    </row>
    <row r="475187" spans="1:1" x14ac:dyDescent="0.25">
      <c r="A475187" s="13" t="s">
        <v>106</v>
      </c>
    </row>
    <row r="475188" spans="1:1" x14ac:dyDescent="0.25">
      <c r="A475188" s="13" t="s">
        <v>101</v>
      </c>
    </row>
    <row r="475189" spans="1:1" x14ac:dyDescent="0.25">
      <c r="A475189" s="13" t="s">
        <v>102</v>
      </c>
    </row>
    <row r="475190" spans="1:1" x14ac:dyDescent="0.25">
      <c r="A475190" s="13" t="s">
        <v>103</v>
      </c>
    </row>
    <row r="475191" spans="1:1" x14ac:dyDescent="0.25">
      <c r="A475191" s="13" t="s">
        <v>104</v>
      </c>
    </row>
    <row r="475192" spans="1:1" x14ac:dyDescent="0.25">
      <c r="A475192" s="13" t="s">
        <v>105</v>
      </c>
    </row>
    <row r="491522" spans="1:1" x14ac:dyDescent="0.25">
      <c r="A491522" s="13" t="s">
        <v>0</v>
      </c>
    </row>
    <row r="491523" spans="1:1" x14ac:dyDescent="0.25">
      <c r="A491523" s="13" t="s">
        <v>125</v>
      </c>
    </row>
    <row r="491524" spans="1:1" x14ac:dyDescent="0.25">
      <c r="A491524" s="13" t="s">
        <v>1</v>
      </c>
    </row>
    <row r="491525" spans="1:1" x14ac:dyDescent="0.25">
      <c r="A491525" s="13" t="s">
        <v>2</v>
      </c>
    </row>
    <row r="491526" spans="1:1" x14ac:dyDescent="0.25">
      <c r="A491526" s="14" t="s">
        <v>25</v>
      </c>
    </row>
    <row r="491527" spans="1:1" x14ac:dyDescent="0.25">
      <c r="A491527" s="13" t="s">
        <v>126</v>
      </c>
    </row>
    <row r="491528" spans="1:1" x14ac:dyDescent="0.25">
      <c r="A491528" s="13" t="s">
        <v>127</v>
      </c>
    </row>
    <row r="491529" spans="1:1" x14ac:dyDescent="0.25">
      <c r="A491529" s="13" t="s">
        <v>88</v>
      </c>
    </row>
    <row r="491530" spans="1:1" x14ac:dyDescent="0.25">
      <c r="A491530" s="13" t="s">
        <v>22</v>
      </c>
    </row>
    <row r="491531" spans="1:1" x14ac:dyDescent="0.25">
      <c r="A491531" s="13" t="s">
        <v>3</v>
      </c>
    </row>
    <row r="491532" spans="1:1" x14ac:dyDescent="0.25">
      <c r="A491532" s="15" t="s">
        <v>95</v>
      </c>
    </row>
    <row r="491533" spans="1:1" x14ac:dyDescent="0.25">
      <c r="A491533" s="15" t="s">
        <v>94</v>
      </c>
    </row>
    <row r="491534" spans="1:1" x14ac:dyDescent="0.25">
      <c r="A491534" s="15" t="s">
        <v>4</v>
      </c>
    </row>
    <row r="491535" spans="1:1" x14ac:dyDescent="0.25">
      <c r="A491535" s="15" t="s">
        <v>118</v>
      </c>
    </row>
    <row r="491536" spans="1:1" x14ac:dyDescent="0.25">
      <c r="A491536" s="15" t="s">
        <v>5</v>
      </c>
    </row>
    <row r="491537" spans="1:1" x14ac:dyDescent="0.25">
      <c r="A491537" s="15" t="s">
        <v>6</v>
      </c>
    </row>
    <row r="491538" spans="1:1" x14ac:dyDescent="0.25">
      <c r="A491538" s="15" t="s">
        <v>7</v>
      </c>
    </row>
    <row r="491539" spans="1:1" x14ac:dyDescent="0.25">
      <c r="A491539" s="15" t="s">
        <v>8</v>
      </c>
    </row>
    <row r="491540" spans="1:1" x14ac:dyDescent="0.25">
      <c r="A491540" s="15" t="s">
        <v>9</v>
      </c>
    </row>
    <row r="491541" spans="1:1" x14ac:dyDescent="0.25">
      <c r="A491541" s="15" t="s">
        <v>10</v>
      </c>
    </row>
    <row r="491542" spans="1:1" x14ac:dyDescent="0.25">
      <c r="A491542" s="15" t="s">
        <v>11</v>
      </c>
    </row>
    <row r="491543" spans="1:1" x14ac:dyDescent="0.25">
      <c r="A491543" s="15" t="s">
        <v>12</v>
      </c>
    </row>
    <row r="491544" spans="1:1" x14ac:dyDescent="0.25">
      <c r="A491544" s="15" t="s">
        <v>13</v>
      </c>
    </row>
    <row r="491545" spans="1:1" x14ac:dyDescent="0.25">
      <c r="A491545" s="15" t="s">
        <v>14</v>
      </c>
    </row>
    <row r="491546" spans="1:1" x14ac:dyDescent="0.25">
      <c r="A491546" s="13" t="s">
        <v>31</v>
      </c>
    </row>
    <row r="491547" spans="1:1" x14ac:dyDescent="0.25">
      <c r="A491547" s="13" t="s">
        <v>87</v>
      </c>
    </row>
    <row r="491548" spans="1:1" x14ac:dyDescent="0.25">
      <c r="A491548" s="15" t="s">
        <v>30</v>
      </c>
    </row>
    <row r="491549" spans="1:1" x14ac:dyDescent="0.25">
      <c r="A491549" s="15" t="s">
        <v>26</v>
      </c>
    </row>
    <row r="491550" spans="1:1" x14ac:dyDescent="0.25">
      <c r="A491550" s="15" t="s">
        <v>27</v>
      </c>
    </row>
    <row r="491551" spans="1:1" x14ac:dyDescent="0.25">
      <c r="A491551" s="15" t="s">
        <v>28</v>
      </c>
    </row>
    <row r="491552" spans="1:1" x14ac:dyDescent="0.25">
      <c r="A491552" s="15" t="s">
        <v>89</v>
      </c>
    </row>
    <row r="491553" spans="1:1" x14ac:dyDescent="0.25">
      <c r="A491553" s="15" t="s">
        <v>90</v>
      </c>
    </row>
    <row r="491554" spans="1:1" x14ac:dyDescent="0.25">
      <c r="A491554" s="15" t="s">
        <v>185</v>
      </c>
    </row>
    <row r="491555" spans="1:1" x14ac:dyDescent="0.25">
      <c r="A491555" s="15" t="s">
        <v>186</v>
      </c>
    </row>
    <row r="491556" spans="1:1" x14ac:dyDescent="0.25">
      <c r="A491556" s="15" t="s">
        <v>187</v>
      </c>
    </row>
    <row r="491557" spans="1:1" x14ac:dyDescent="0.25">
      <c r="A491557" s="15" t="s">
        <v>188</v>
      </c>
    </row>
    <row r="491558" spans="1:1" x14ac:dyDescent="0.25">
      <c r="A491558" s="15" t="s">
        <v>189</v>
      </c>
    </row>
    <row r="491559" spans="1:1" x14ac:dyDescent="0.25">
      <c r="A491559" s="15" t="s">
        <v>190</v>
      </c>
    </row>
    <row r="491560" spans="1:1" x14ac:dyDescent="0.25">
      <c r="A491560" s="15" t="s">
        <v>191</v>
      </c>
    </row>
    <row r="491561" spans="1:1" x14ac:dyDescent="0.25">
      <c r="A491561" s="14" t="s">
        <v>47</v>
      </c>
    </row>
    <row r="491562" spans="1:1" x14ac:dyDescent="0.25">
      <c r="A491562" s="14" t="s">
        <v>119</v>
      </c>
    </row>
    <row r="491563" spans="1:1" x14ac:dyDescent="0.25">
      <c r="A491563" s="14" t="s">
        <v>86</v>
      </c>
    </row>
    <row r="491564" spans="1:1" x14ac:dyDescent="0.25">
      <c r="A491564" s="13" t="s">
        <v>21</v>
      </c>
    </row>
    <row r="491565" spans="1:1" x14ac:dyDescent="0.25">
      <c r="A491565" s="14" t="s">
        <v>92</v>
      </c>
    </row>
    <row r="491566" spans="1:1" x14ac:dyDescent="0.25">
      <c r="A491566" s="14" t="s">
        <v>93</v>
      </c>
    </row>
    <row r="491567" spans="1:1" x14ac:dyDescent="0.25">
      <c r="A491567" s="14" t="s">
        <v>99</v>
      </c>
    </row>
    <row r="491568" spans="1:1" x14ac:dyDescent="0.25">
      <c r="A491568" s="14" t="s">
        <v>100</v>
      </c>
    </row>
    <row r="491569" spans="1:1" x14ac:dyDescent="0.25">
      <c r="A491569" s="13" t="s">
        <v>24</v>
      </c>
    </row>
    <row r="491570" spans="1:1" x14ac:dyDescent="0.25">
      <c r="A491570" s="13" t="s">
        <v>83</v>
      </c>
    </row>
    <row r="491571" spans="1:1" x14ac:dyDescent="0.25">
      <c r="A491571" s="13" t="s">
        <v>106</v>
      </c>
    </row>
    <row r="491572" spans="1:1" x14ac:dyDescent="0.25">
      <c r="A491572" s="13" t="s">
        <v>101</v>
      </c>
    </row>
    <row r="491573" spans="1:1" x14ac:dyDescent="0.25">
      <c r="A491573" s="13" t="s">
        <v>102</v>
      </c>
    </row>
    <row r="491574" spans="1:1" x14ac:dyDescent="0.25">
      <c r="A491574" s="13" t="s">
        <v>103</v>
      </c>
    </row>
    <row r="491575" spans="1:1" x14ac:dyDescent="0.25">
      <c r="A491575" s="13" t="s">
        <v>104</v>
      </c>
    </row>
    <row r="491576" spans="1:1" x14ac:dyDescent="0.25">
      <c r="A491576" s="13" t="s">
        <v>105</v>
      </c>
    </row>
    <row r="507906" spans="1:1" x14ac:dyDescent="0.25">
      <c r="A507906" s="13" t="s">
        <v>0</v>
      </c>
    </row>
    <row r="507907" spans="1:1" x14ac:dyDescent="0.25">
      <c r="A507907" s="13" t="s">
        <v>125</v>
      </c>
    </row>
    <row r="507908" spans="1:1" x14ac:dyDescent="0.25">
      <c r="A507908" s="13" t="s">
        <v>1</v>
      </c>
    </row>
    <row r="507909" spans="1:1" x14ac:dyDescent="0.25">
      <c r="A507909" s="13" t="s">
        <v>2</v>
      </c>
    </row>
    <row r="507910" spans="1:1" x14ac:dyDescent="0.25">
      <c r="A507910" s="14" t="s">
        <v>25</v>
      </c>
    </row>
    <row r="507911" spans="1:1" x14ac:dyDescent="0.25">
      <c r="A507911" s="13" t="s">
        <v>126</v>
      </c>
    </row>
    <row r="507912" spans="1:1" x14ac:dyDescent="0.25">
      <c r="A507912" s="13" t="s">
        <v>127</v>
      </c>
    </row>
    <row r="507913" spans="1:1" x14ac:dyDescent="0.25">
      <c r="A507913" s="13" t="s">
        <v>88</v>
      </c>
    </row>
    <row r="507914" spans="1:1" x14ac:dyDescent="0.25">
      <c r="A507914" s="13" t="s">
        <v>22</v>
      </c>
    </row>
    <row r="507915" spans="1:1" x14ac:dyDescent="0.25">
      <c r="A507915" s="13" t="s">
        <v>3</v>
      </c>
    </row>
    <row r="507916" spans="1:1" x14ac:dyDescent="0.25">
      <c r="A507916" s="15" t="s">
        <v>95</v>
      </c>
    </row>
    <row r="507917" spans="1:1" x14ac:dyDescent="0.25">
      <c r="A507917" s="15" t="s">
        <v>94</v>
      </c>
    </row>
    <row r="507918" spans="1:1" x14ac:dyDescent="0.25">
      <c r="A507918" s="15" t="s">
        <v>4</v>
      </c>
    </row>
    <row r="507919" spans="1:1" x14ac:dyDescent="0.25">
      <c r="A507919" s="15" t="s">
        <v>118</v>
      </c>
    </row>
    <row r="507920" spans="1:1" x14ac:dyDescent="0.25">
      <c r="A507920" s="15" t="s">
        <v>5</v>
      </c>
    </row>
    <row r="507921" spans="1:1" x14ac:dyDescent="0.25">
      <c r="A507921" s="15" t="s">
        <v>6</v>
      </c>
    </row>
    <row r="507922" spans="1:1" x14ac:dyDescent="0.25">
      <c r="A507922" s="15" t="s">
        <v>7</v>
      </c>
    </row>
    <row r="507923" spans="1:1" x14ac:dyDescent="0.25">
      <c r="A507923" s="15" t="s">
        <v>8</v>
      </c>
    </row>
    <row r="507924" spans="1:1" x14ac:dyDescent="0.25">
      <c r="A507924" s="15" t="s">
        <v>9</v>
      </c>
    </row>
    <row r="507925" spans="1:1" x14ac:dyDescent="0.25">
      <c r="A507925" s="15" t="s">
        <v>10</v>
      </c>
    </row>
    <row r="507926" spans="1:1" x14ac:dyDescent="0.25">
      <c r="A507926" s="15" t="s">
        <v>11</v>
      </c>
    </row>
    <row r="507927" spans="1:1" x14ac:dyDescent="0.25">
      <c r="A507927" s="15" t="s">
        <v>12</v>
      </c>
    </row>
    <row r="507928" spans="1:1" x14ac:dyDescent="0.25">
      <c r="A507928" s="15" t="s">
        <v>13</v>
      </c>
    </row>
    <row r="507929" spans="1:1" x14ac:dyDescent="0.25">
      <c r="A507929" s="15" t="s">
        <v>14</v>
      </c>
    </row>
    <row r="507930" spans="1:1" x14ac:dyDescent="0.25">
      <c r="A507930" s="13" t="s">
        <v>31</v>
      </c>
    </row>
    <row r="507931" spans="1:1" x14ac:dyDescent="0.25">
      <c r="A507931" s="13" t="s">
        <v>87</v>
      </c>
    </row>
    <row r="507932" spans="1:1" x14ac:dyDescent="0.25">
      <c r="A507932" s="15" t="s">
        <v>30</v>
      </c>
    </row>
    <row r="507933" spans="1:1" x14ac:dyDescent="0.25">
      <c r="A507933" s="15" t="s">
        <v>26</v>
      </c>
    </row>
    <row r="507934" spans="1:1" x14ac:dyDescent="0.25">
      <c r="A507934" s="15" t="s">
        <v>27</v>
      </c>
    </row>
    <row r="507935" spans="1:1" x14ac:dyDescent="0.25">
      <c r="A507935" s="15" t="s">
        <v>28</v>
      </c>
    </row>
    <row r="507936" spans="1:1" x14ac:dyDescent="0.25">
      <c r="A507936" s="15" t="s">
        <v>89</v>
      </c>
    </row>
    <row r="507937" spans="1:1" x14ac:dyDescent="0.25">
      <c r="A507937" s="15" t="s">
        <v>90</v>
      </c>
    </row>
    <row r="507938" spans="1:1" x14ac:dyDescent="0.25">
      <c r="A507938" s="15" t="s">
        <v>185</v>
      </c>
    </row>
    <row r="507939" spans="1:1" x14ac:dyDescent="0.25">
      <c r="A507939" s="15" t="s">
        <v>186</v>
      </c>
    </row>
    <row r="507940" spans="1:1" x14ac:dyDescent="0.25">
      <c r="A507940" s="15" t="s">
        <v>187</v>
      </c>
    </row>
    <row r="507941" spans="1:1" x14ac:dyDescent="0.25">
      <c r="A507941" s="15" t="s">
        <v>188</v>
      </c>
    </row>
    <row r="507942" spans="1:1" x14ac:dyDescent="0.25">
      <c r="A507942" s="15" t="s">
        <v>189</v>
      </c>
    </row>
    <row r="507943" spans="1:1" x14ac:dyDescent="0.25">
      <c r="A507943" s="15" t="s">
        <v>190</v>
      </c>
    </row>
    <row r="507944" spans="1:1" x14ac:dyDescent="0.25">
      <c r="A507944" s="15" t="s">
        <v>191</v>
      </c>
    </row>
    <row r="507945" spans="1:1" x14ac:dyDescent="0.25">
      <c r="A507945" s="14" t="s">
        <v>47</v>
      </c>
    </row>
    <row r="507946" spans="1:1" x14ac:dyDescent="0.25">
      <c r="A507946" s="14" t="s">
        <v>119</v>
      </c>
    </row>
    <row r="507947" spans="1:1" x14ac:dyDescent="0.25">
      <c r="A507947" s="14" t="s">
        <v>86</v>
      </c>
    </row>
    <row r="507948" spans="1:1" x14ac:dyDescent="0.25">
      <c r="A507948" s="13" t="s">
        <v>21</v>
      </c>
    </row>
    <row r="507949" spans="1:1" x14ac:dyDescent="0.25">
      <c r="A507949" s="14" t="s">
        <v>92</v>
      </c>
    </row>
    <row r="507950" spans="1:1" x14ac:dyDescent="0.25">
      <c r="A507950" s="14" t="s">
        <v>93</v>
      </c>
    </row>
    <row r="507951" spans="1:1" x14ac:dyDescent="0.25">
      <c r="A507951" s="14" t="s">
        <v>99</v>
      </c>
    </row>
    <row r="507952" spans="1:1" x14ac:dyDescent="0.25">
      <c r="A507952" s="14" t="s">
        <v>100</v>
      </c>
    </row>
    <row r="507953" spans="1:1" x14ac:dyDescent="0.25">
      <c r="A507953" s="13" t="s">
        <v>24</v>
      </c>
    </row>
    <row r="507954" spans="1:1" x14ac:dyDescent="0.25">
      <c r="A507954" s="13" t="s">
        <v>83</v>
      </c>
    </row>
    <row r="507955" spans="1:1" x14ac:dyDescent="0.25">
      <c r="A507955" s="13" t="s">
        <v>106</v>
      </c>
    </row>
    <row r="507956" spans="1:1" x14ac:dyDescent="0.25">
      <c r="A507956" s="13" t="s">
        <v>101</v>
      </c>
    </row>
    <row r="507957" spans="1:1" x14ac:dyDescent="0.25">
      <c r="A507957" s="13" t="s">
        <v>102</v>
      </c>
    </row>
    <row r="507958" spans="1:1" x14ac:dyDescent="0.25">
      <c r="A507958" s="13" t="s">
        <v>103</v>
      </c>
    </row>
    <row r="507959" spans="1:1" x14ac:dyDescent="0.25">
      <c r="A507959" s="13" t="s">
        <v>104</v>
      </c>
    </row>
    <row r="507960" spans="1:1" x14ac:dyDescent="0.25">
      <c r="A507960" s="13" t="s">
        <v>105</v>
      </c>
    </row>
    <row r="524290" spans="1:1" x14ac:dyDescent="0.25">
      <c r="A524290" s="13" t="s">
        <v>0</v>
      </c>
    </row>
    <row r="524291" spans="1:1" x14ac:dyDescent="0.25">
      <c r="A524291" s="13" t="s">
        <v>125</v>
      </c>
    </row>
    <row r="524292" spans="1:1" x14ac:dyDescent="0.25">
      <c r="A524292" s="13" t="s">
        <v>1</v>
      </c>
    </row>
    <row r="524293" spans="1:1" x14ac:dyDescent="0.25">
      <c r="A524293" s="13" t="s">
        <v>2</v>
      </c>
    </row>
    <row r="524294" spans="1:1" x14ac:dyDescent="0.25">
      <c r="A524294" s="14" t="s">
        <v>25</v>
      </c>
    </row>
    <row r="524295" spans="1:1" x14ac:dyDescent="0.25">
      <c r="A524295" s="13" t="s">
        <v>126</v>
      </c>
    </row>
    <row r="524296" spans="1:1" x14ac:dyDescent="0.25">
      <c r="A524296" s="13" t="s">
        <v>127</v>
      </c>
    </row>
    <row r="524297" spans="1:1" x14ac:dyDescent="0.25">
      <c r="A524297" s="13" t="s">
        <v>88</v>
      </c>
    </row>
    <row r="524298" spans="1:1" x14ac:dyDescent="0.25">
      <c r="A524298" s="13" t="s">
        <v>22</v>
      </c>
    </row>
    <row r="524299" spans="1:1" x14ac:dyDescent="0.25">
      <c r="A524299" s="13" t="s">
        <v>3</v>
      </c>
    </row>
    <row r="524300" spans="1:1" x14ac:dyDescent="0.25">
      <c r="A524300" s="15" t="s">
        <v>95</v>
      </c>
    </row>
    <row r="524301" spans="1:1" x14ac:dyDescent="0.25">
      <c r="A524301" s="15" t="s">
        <v>94</v>
      </c>
    </row>
    <row r="524302" spans="1:1" x14ac:dyDescent="0.25">
      <c r="A524302" s="15" t="s">
        <v>4</v>
      </c>
    </row>
    <row r="524303" spans="1:1" x14ac:dyDescent="0.25">
      <c r="A524303" s="15" t="s">
        <v>118</v>
      </c>
    </row>
    <row r="524304" spans="1:1" x14ac:dyDescent="0.25">
      <c r="A524304" s="15" t="s">
        <v>5</v>
      </c>
    </row>
    <row r="524305" spans="1:1" x14ac:dyDescent="0.25">
      <c r="A524305" s="15" t="s">
        <v>6</v>
      </c>
    </row>
    <row r="524306" spans="1:1" x14ac:dyDescent="0.25">
      <c r="A524306" s="15" t="s">
        <v>7</v>
      </c>
    </row>
    <row r="524307" spans="1:1" x14ac:dyDescent="0.25">
      <c r="A524307" s="15" t="s">
        <v>8</v>
      </c>
    </row>
    <row r="524308" spans="1:1" x14ac:dyDescent="0.25">
      <c r="A524308" s="15" t="s">
        <v>9</v>
      </c>
    </row>
    <row r="524309" spans="1:1" x14ac:dyDescent="0.25">
      <c r="A524309" s="15" t="s">
        <v>10</v>
      </c>
    </row>
    <row r="524310" spans="1:1" x14ac:dyDescent="0.25">
      <c r="A524310" s="15" t="s">
        <v>11</v>
      </c>
    </row>
    <row r="524311" spans="1:1" x14ac:dyDescent="0.25">
      <c r="A524311" s="15" t="s">
        <v>12</v>
      </c>
    </row>
    <row r="524312" spans="1:1" x14ac:dyDescent="0.25">
      <c r="A524312" s="15" t="s">
        <v>13</v>
      </c>
    </row>
    <row r="524313" spans="1:1" x14ac:dyDescent="0.25">
      <c r="A524313" s="15" t="s">
        <v>14</v>
      </c>
    </row>
    <row r="524314" spans="1:1" x14ac:dyDescent="0.25">
      <c r="A524314" s="13" t="s">
        <v>31</v>
      </c>
    </row>
    <row r="524315" spans="1:1" x14ac:dyDescent="0.25">
      <c r="A524315" s="13" t="s">
        <v>87</v>
      </c>
    </row>
    <row r="524316" spans="1:1" x14ac:dyDescent="0.25">
      <c r="A524316" s="15" t="s">
        <v>30</v>
      </c>
    </row>
    <row r="524317" spans="1:1" x14ac:dyDescent="0.25">
      <c r="A524317" s="15" t="s">
        <v>26</v>
      </c>
    </row>
    <row r="524318" spans="1:1" x14ac:dyDescent="0.25">
      <c r="A524318" s="15" t="s">
        <v>27</v>
      </c>
    </row>
    <row r="524319" spans="1:1" x14ac:dyDescent="0.25">
      <c r="A524319" s="15" t="s">
        <v>28</v>
      </c>
    </row>
    <row r="524320" spans="1:1" x14ac:dyDescent="0.25">
      <c r="A524320" s="15" t="s">
        <v>89</v>
      </c>
    </row>
    <row r="524321" spans="1:1" x14ac:dyDescent="0.25">
      <c r="A524321" s="15" t="s">
        <v>90</v>
      </c>
    </row>
    <row r="524322" spans="1:1" x14ac:dyDescent="0.25">
      <c r="A524322" s="15" t="s">
        <v>185</v>
      </c>
    </row>
    <row r="524323" spans="1:1" x14ac:dyDescent="0.25">
      <c r="A524323" s="15" t="s">
        <v>186</v>
      </c>
    </row>
    <row r="524324" spans="1:1" x14ac:dyDescent="0.25">
      <c r="A524324" s="15" t="s">
        <v>187</v>
      </c>
    </row>
    <row r="524325" spans="1:1" x14ac:dyDescent="0.25">
      <c r="A524325" s="15" t="s">
        <v>188</v>
      </c>
    </row>
    <row r="524326" spans="1:1" x14ac:dyDescent="0.25">
      <c r="A524326" s="15" t="s">
        <v>189</v>
      </c>
    </row>
    <row r="524327" spans="1:1" x14ac:dyDescent="0.25">
      <c r="A524327" s="15" t="s">
        <v>190</v>
      </c>
    </row>
    <row r="524328" spans="1:1" x14ac:dyDescent="0.25">
      <c r="A524328" s="15" t="s">
        <v>191</v>
      </c>
    </row>
    <row r="524329" spans="1:1" x14ac:dyDescent="0.25">
      <c r="A524329" s="14" t="s">
        <v>47</v>
      </c>
    </row>
    <row r="524330" spans="1:1" x14ac:dyDescent="0.25">
      <c r="A524330" s="14" t="s">
        <v>119</v>
      </c>
    </row>
    <row r="524331" spans="1:1" x14ac:dyDescent="0.25">
      <c r="A524331" s="14" t="s">
        <v>86</v>
      </c>
    </row>
    <row r="524332" spans="1:1" x14ac:dyDescent="0.25">
      <c r="A524332" s="13" t="s">
        <v>21</v>
      </c>
    </row>
    <row r="524333" spans="1:1" x14ac:dyDescent="0.25">
      <c r="A524333" s="14" t="s">
        <v>92</v>
      </c>
    </row>
    <row r="524334" spans="1:1" x14ac:dyDescent="0.25">
      <c r="A524334" s="14" t="s">
        <v>93</v>
      </c>
    </row>
    <row r="524335" spans="1:1" x14ac:dyDescent="0.25">
      <c r="A524335" s="14" t="s">
        <v>99</v>
      </c>
    </row>
    <row r="524336" spans="1:1" x14ac:dyDescent="0.25">
      <c r="A524336" s="14" t="s">
        <v>100</v>
      </c>
    </row>
    <row r="524337" spans="1:1" x14ac:dyDescent="0.25">
      <c r="A524337" s="13" t="s">
        <v>24</v>
      </c>
    </row>
    <row r="524338" spans="1:1" x14ac:dyDescent="0.25">
      <c r="A524338" s="13" t="s">
        <v>83</v>
      </c>
    </row>
    <row r="524339" spans="1:1" x14ac:dyDescent="0.25">
      <c r="A524339" s="13" t="s">
        <v>106</v>
      </c>
    </row>
    <row r="524340" spans="1:1" x14ac:dyDescent="0.25">
      <c r="A524340" s="13" t="s">
        <v>101</v>
      </c>
    </row>
    <row r="524341" spans="1:1" x14ac:dyDescent="0.25">
      <c r="A524341" s="13" t="s">
        <v>102</v>
      </c>
    </row>
    <row r="524342" spans="1:1" x14ac:dyDescent="0.25">
      <c r="A524342" s="13" t="s">
        <v>103</v>
      </c>
    </row>
    <row r="524343" spans="1:1" x14ac:dyDescent="0.25">
      <c r="A524343" s="13" t="s">
        <v>104</v>
      </c>
    </row>
    <row r="524344" spans="1:1" x14ac:dyDescent="0.25">
      <c r="A524344" s="13" t="s">
        <v>105</v>
      </c>
    </row>
    <row r="540674" spans="1:1" x14ac:dyDescent="0.25">
      <c r="A540674" s="13" t="s">
        <v>0</v>
      </c>
    </row>
    <row r="540675" spans="1:1" x14ac:dyDescent="0.25">
      <c r="A540675" s="13" t="s">
        <v>125</v>
      </c>
    </row>
    <row r="540676" spans="1:1" x14ac:dyDescent="0.25">
      <c r="A540676" s="13" t="s">
        <v>1</v>
      </c>
    </row>
    <row r="540677" spans="1:1" x14ac:dyDescent="0.25">
      <c r="A540677" s="13" t="s">
        <v>2</v>
      </c>
    </row>
    <row r="540678" spans="1:1" x14ac:dyDescent="0.25">
      <c r="A540678" s="14" t="s">
        <v>25</v>
      </c>
    </row>
    <row r="540679" spans="1:1" x14ac:dyDescent="0.25">
      <c r="A540679" s="13" t="s">
        <v>126</v>
      </c>
    </row>
    <row r="540680" spans="1:1" x14ac:dyDescent="0.25">
      <c r="A540680" s="13" t="s">
        <v>127</v>
      </c>
    </row>
    <row r="540681" spans="1:1" x14ac:dyDescent="0.25">
      <c r="A540681" s="13" t="s">
        <v>88</v>
      </c>
    </row>
    <row r="540682" spans="1:1" x14ac:dyDescent="0.25">
      <c r="A540682" s="13" t="s">
        <v>22</v>
      </c>
    </row>
    <row r="540683" spans="1:1" x14ac:dyDescent="0.25">
      <c r="A540683" s="13" t="s">
        <v>3</v>
      </c>
    </row>
    <row r="540684" spans="1:1" x14ac:dyDescent="0.25">
      <c r="A540684" s="15" t="s">
        <v>95</v>
      </c>
    </row>
    <row r="540685" spans="1:1" x14ac:dyDescent="0.25">
      <c r="A540685" s="15" t="s">
        <v>94</v>
      </c>
    </row>
    <row r="540686" spans="1:1" x14ac:dyDescent="0.25">
      <c r="A540686" s="15" t="s">
        <v>4</v>
      </c>
    </row>
    <row r="540687" spans="1:1" x14ac:dyDescent="0.25">
      <c r="A540687" s="15" t="s">
        <v>118</v>
      </c>
    </row>
    <row r="540688" spans="1:1" x14ac:dyDescent="0.25">
      <c r="A540688" s="15" t="s">
        <v>5</v>
      </c>
    </row>
    <row r="540689" spans="1:1" x14ac:dyDescent="0.25">
      <c r="A540689" s="15" t="s">
        <v>6</v>
      </c>
    </row>
    <row r="540690" spans="1:1" x14ac:dyDescent="0.25">
      <c r="A540690" s="15" t="s">
        <v>7</v>
      </c>
    </row>
    <row r="540691" spans="1:1" x14ac:dyDescent="0.25">
      <c r="A540691" s="15" t="s">
        <v>8</v>
      </c>
    </row>
    <row r="540692" spans="1:1" x14ac:dyDescent="0.25">
      <c r="A540692" s="15" t="s">
        <v>9</v>
      </c>
    </row>
    <row r="540693" spans="1:1" x14ac:dyDescent="0.25">
      <c r="A540693" s="15" t="s">
        <v>10</v>
      </c>
    </row>
    <row r="540694" spans="1:1" x14ac:dyDescent="0.25">
      <c r="A540694" s="15" t="s">
        <v>11</v>
      </c>
    </row>
    <row r="540695" spans="1:1" x14ac:dyDescent="0.25">
      <c r="A540695" s="15" t="s">
        <v>12</v>
      </c>
    </row>
    <row r="540696" spans="1:1" x14ac:dyDescent="0.25">
      <c r="A540696" s="15" t="s">
        <v>13</v>
      </c>
    </row>
    <row r="540697" spans="1:1" x14ac:dyDescent="0.25">
      <c r="A540697" s="15" t="s">
        <v>14</v>
      </c>
    </row>
    <row r="540698" spans="1:1" x14ac:dyDescent="0.25">
      <c r="A540698" s="13" t="s">
        <v>31</v>
      </c>
    </row>
    <row r="540699" spans="1:1" x14ac:dyDescent="0.25">
      <c r="A540699" s="13" t="s">
        <v>87</v>
      </c>
    </row>
    <row r="540700" spans="1:1" x14ac:dyDescent="0.25">
      <c r="A540700" s="15" t="s">
        <v>30</v>
      </c>
    </row>
    <row r="540701" spans="1:1" x14ac:dyDescent="0.25">
      <c r="A540701" s="15" t="s">
        <v>26</v>
      </c>
    </row>
    <row r="540702" spans="1:1" x14ac:dyDescent="0.25">
      <c r="A540702" s="15" t="s">
        <v>27</v>
      </c>
    </row>
    <row r="540703" spans="1:1" x14ac:dyDescent="0.25">
      <c r="A540703" s="15" t="s">
        <v>28</v>
      </c>
    </row>
    <row r="540704" spans="1:1" x14ac:dyDescent="0.25">
      <c r="A540704" s="15" t="s">
        <v>89</v>
      </c>
    </row>
    <row r="540705" spans="1:1" x14ac:dyDescent="0.25">
      <c r="A540705" s="15" t="s">
        <v>90</v>
      </c>
    </row>
    <row r="540706" spans="1:1" x14ac:dyDescent="0.25">
      <c r="A540706" s="15" t="s">
        <v>185</v>
      </c>
    </row>
    <row r="540707" spans="1:1" x14ac:dyDescent="0.25">
      <c r="A540707" s="15" t="s">
        <v>186</v>
      </c>
    </row>
    <row r="540708" spans="1:1" x14ac:dyDescent="0.25">
      <c r="A540708" s="15" t="s">
        <v>187</v>
      </c>
    </row>
    <row r="540709" spans="1:1" x14ac:dyDescent="0.25">
      <c r="A540709" s="15" t="s">
        <v>188</v>
      </c>
    </row>
    <row r="540710" spans="1:1" x14ac:dyDescent="0.25">
      <c r="A540710" s="15" t="s">
        <v>189</v>
      </c>
    </row>
    <row r="540711" spans="1:1" x14ac:dyDescent="0.25">
      <c r="A540711" s="15" t="s">
        <v>190</v>
      </c>
    </row>
    <row r="540712" spans="1:1" x14ac:dyDescent="0.25">
      <c r="A540712" s="15" t="s">
        <v>191</v>
      </c>
    </row>
    <row r="540713" spans="1:1" x14ac:dyDescent="0.25">
      <c r="A540713" s="14" t="s">
        <v>47</v>
      </c>
    </row>
    <row r="540714" spans="1:1" x14ac:dyDescent="0.25">
      <c r="A540714" s="14" t="s">
        <v>119</v>
      </c>
    </row>
    <row r="540715" spans="1:1" x14ac:dyDescent="0.25">
      <c r="A540715" s="14" t="s">
        <v>86</v>
      </c>
    </row>
    <row r="540716" spans="1:1" x14ac:dyDescent="0.25">
      <c r="A540716" s="13" t="s">
        <v>21</v>
      </c>
    </row>
    <row r="540717" spans="1:1" x14ac:dyDescent="0.25">
      <c r="A540717" s="14" t="s">
        <v>92</v>
      </c>
    </row>
    <row r="540718" spans="1:1" x14ac:dyDescent="0.25">
      <c r="A540718" s="14" t="s">
        <v>93</v>
      </c>
    </row>
    <row r="540719" spans="1:1" x14ac:dyDescent="0.25">
      <c r="A540719" s="14" t="s">
        <v>99</v>
      </c>
    </row>
    <row r="540720" spans="1:1" x14ac:dyDescent="0.25">
      <c r="A540720" s="14" t="s">
        <v>100</v>
      </c>
    </row>
    <row r="540721" spans="1:1" x14ac:dyDescent="0.25">
      <c r="A540721" s="13" t="s">
        <v>24</v>
      </c>
    </row>
    <row r="540722" spans="1:1" x14ac:dyDescent="0.25">
      <c r="A540722" s="13" t="s">
        <v>83</v>
      </c>
    </row>
    <row r="540723" spans="1:1" x14ac:dyDescent="0.25">
      <c r="A540723" s="13" t="s">
        <v>106</v>
      </c>
    </row>
    <row r="540724" spans="1:1" x14ac:dyDescent="0.25">
      <c r="A540724" s="13" t="s">
        <v>101</v>
      </c>
    </row>
    <row r="540725" spans="1:1" x14ac:dyDescent="0.25">
      <c r="A540725" s="13" t="s">
        <v>102</v>
      </c>
    </row>
    <row r="540726" spans="1:1" x14ac:dyDescent="0.25">
      <c r="A540726" s="13" t="s">
        <v>103</v>
      </c>
    </row>
    <row r="540727" spans="1:1" x14ac:dyDescent="0.25">
      <c r="A540727" s="13" t="s">
        <v>104</v>
      </c>
    </row>
    <row r="540728" spans="1:1" x14ac:dyDescent="0.25">
      <c r="A540728" s="13" t="s">
        <v>105</v>
      </c>
    </row>
    <row r="557058" spans="1:1" x14ac:dyDescent="0.25">
      <c r="A557058" s="13" t="s">
        <v>0</v>
      </c>
    </row>
    <row r="557059" spans="1:1" x14ac:dyDescent="0.25">
      <c r="A557059" s="13" t="s">
        <v>125</v>
      </c>
    </row>
    <row r="557060" spans="1:1" x14ac:dyDescent="0.25">
      <c r="A557060" s="13" t="s">
        <v>1</v>
      </c>
    </row>
    <row r="557061" spans="1:1" x14ac:dyDescent="0.25">
      <c r="A557061" s="13" t="s">
        <v>2</v>
      </c>
    </row>
    <row r="557062" spans="1:1" x14ac:dyDescent="0.25">
      <c r="A557062" s="14" t="s">
        <v>25</v>
      </c>
    </row>
    <row r="557063" spans="1:1" x14ac:dyDescent="0.25">
      <c r="A557063" s="13" t="s">
        <v>126</v>
      </c>
    </row>
    <row r="557064" spans="1:1" x14ac:dyDescent="0.25">
      <c r="A557064" s="13" t="s">
        <v>127</v>
      </c>
    </row>
    <row r="557065" spans="1:1" x14ac:dyDescent="0.25">
      <c r="A557065" s="13" t="s">
        <v>88</v>
      </c>
    </row>
    <row r="557066" spans="1:1" x14ac:dyDescent="0.25">
      <c r="A557066" s="13" t="s">
        <v>22</v>
      </c>
    </row>
    <row r="557067" spans="1:1" x14ac:dyDescent="0.25">
      <c r="A557067" s="13" t="s">
        <v>3</v>
      </c>
    </row>
    <row r="557068" spans="1:1" x14ac:dyDescent="0.25">
      <c r="A557068" s="15" t="s">
        <v>95</v>
      </c>
    </row>
    <row r="557069" spans="1:1" x14ac:dyDescent="0.25">
      <c r="A557069" s="15" t="s">
        <v>94</v>
      </c>
    </row>
    <row r="557070" spans="1:1" x14ac:dyDescent="0.25">
      <c r="A557070" s="15" t="s">
        <v>4</v>
      </c>
    </row>
    <row r="557071" spans="1:1" x14ac:dyDescent="0.25">
      <c r="A557071" s="15" t="s">
        <v>118</v>
      </c>
    </row>
    <row r="557072" spans="1:1" x14ac:dyDescent="0.25">
      <c r="A557072" s="15" t="s">
        <v>5</v>
      </c>
    </row>
    <row r="557073" spans="1:1" x14ac:dyDescent="0.25">
      <c r="A557073" s="15" t="s">
        <v>6</v>
      </c>
    </row>
    <row r="557074" spans="1:1" x14ac:dyDescent="0.25">
      <c r="A557074" s="15" t="s">
        <v>7</v>
      </c>
    </row>
    <row r="557075" spans="1:1" x14ac:dyDescent="0.25">
      <c r="A557075" s="15" t="s">
        <v>8</v>
      </c>
    </row>
    <row r="557076" spans="1:1" x14ac:dyDescent="0.25">
      <c r="A557076" s="15" t="s">
        <v>9</v>
      </c>
    </row>
    <row r="557077" spans="1:1" x14ac:dyDescent="0.25">
      <c r="A557077" s="15" t="s">
        <v>10</v>
      </c>
    </row>
    <row r="557078" spans="1:1" x14ac:dyDescent="0.25">
      <c r="A557078" s="15" t="s">
        <v>11</v>
      </c>
    </row>
    <row r="557079" spans="1:1" x14ac:dyDescent="0.25">
      <c r="A557079" s="15" t="s">
        <v>12</v>
      </c>
    </row>
    <row r="557080" spans="1:1" x14ac:dyDescent="0.25">
      <c r="A557080" s="15" t="s">
        <v>13</v>
      </c>
    </row>
    <row r="557081" spans="1:1" x14ac:dyDescent="0.25">
      <c r="A557081" s="15" t="s">
        <v>14</v>
      </c>
    </row>
    <row r="557082" spans="1:1" x14ac:dyDescent="0.25">
      <c r="A557082" s="13" t="s">
        <v>31</v>
      </c>
    </row>
    <row r="557083" spans="1:1" x14ac:dyDescent="0.25">
      <c r="A557083" s="13" t="s">
        <v>87</v>
      </c>
    </row>
    <row r="557084" spans="1:1" x14ac:dyDescent="0.25">
      <c r="A557084" s="15" t="s">
        <v>30</v>
      </c>
    </row>
    <row r="557085" spans="1:1" x14ac:dyDescent="0.25">
      <c r="A557085" s="15" t="s">
        <v>26</v>
      </c>
    </row>
    <row r="557086" spans="1:1" x14ac:dyDescent="0.25">
      <c r="A557086" s="15" t="s">
        <v>27</v>
      </c>
    </row>
    <row r="557087" spans="1:1" x14ac:dyDescent="0.25">
      <c r="A557087" s="15" t="s">
        <v>28</v>
      </c>
    </row>
    <row r="557088" spans="1:1" x14ac:dyDescent="0.25">
      <c r="A557088" s="15" t="s">
        <v>89</v>
      </c>
    </row>
    <row r="557089" spans="1:1" x14ac:dyDescent="0.25">
      <c r="A557089" s="15" t="s">
        <v>90</v>
      </c>
    </row>
    <row r="557090" spans="1:1" x14ac:dyDescent="0.25">
      <c r="A557090" s="15" t="s">
        <v>185</v>
      </c>
    </row>
    <row r="557091" spans="1:1" x14ac:dyDescent="0.25">
      <c r="A557091" s="15" t="s">
        <v>186</v>
      </c>
    </row>
    <row r="557092" spans="1:1" x14ac:dyDescent="0.25">
      <c r="A557092" s="15" t="s">
        <v>187</v>
      </c>
    </row>
    <row r="557093" spans="1:1" x14ac:dyDescent="0.25">
      <c r="A557093" s="15" t="s">
        <v>188</v>
      </c>
    </row>
    <row r="557094" spans="1:1" x14ac:dyDescent="0.25">
      <c r="A557094" s="15" t="s">
        <v>189</v>
      </c>
    </row>
    <row r="557095" spans="1:1" x14ac:dyDescent="0.25">
      <c r="A557095" s="15" t="s">
        <v>190</v>
      </c>
    </row>
    <row r="557096" spans="1:1" x14ac:dyDescent="0.25">
      <c r="A557096" s="15" t="s">
        <v>191</v>
      </c>
    </row>
    <row r="557097" spans="1:1" x14ac:dyDescent="0.25">
      <c r="A557097" s="14" t="s">
        <v>47</v>
      </c>
    </row>
    <row r="557098" spans="1:1" x14ac:dyDescent="0.25">
      <c r="A557098" s="14" t="s">
        <v>119</v>
      </c>
    </row>
    <row r="557099" spans="1:1" x14ac:dyDescent="0.25">
      <c r="A557099" s="14" t="s">
        <v>86</v>
      </c>
    </row>
    <row r="557100" spans="1:1" x14ac:dyDescent="0.25">
      <c r="A557100" s="13" t="s">
        <v>21</v>
      </c>
    </row>
    <row r="557101" spans="1:1" x14ac:dyDescent="0.25">
      <c r="A557101" s="14" t="s">
        <v>92</v>
      </c>
    </row>
    <row r="557102" spans="1:1" x14ac:dyDescent="0.25">
      <c r="A557102" s="14" t="s">
        <v>93</v>
      </c>
    </row>
    <row r="557103" spans="1:1" x14ac:dyDescent="0.25">
      <c r="A557103" s="14" t="s">
        <v>99</v>
      </c>
    </row>
    <row r="557104" spans="1:1" x14ac:dyDescent="0.25">
      <c r="A557104" s="14" t="s">
        <v>100</v>
      </c>
    </row>
    <row r="557105" spans="1:1" x14ac:dyDescent="0.25">
      <c r="A557105" s="13" t="s">
        <v>24</v>
      </c>
    </row>
    <row r="557106" spans="1:1" x14ac:dyDescent="0.25">
      <c r="A557106" s="13" t="s">
        <v>83</v>
      </c>
    </row>
    <row r="557107" spans="1:1" x14ac:dyDescent="0.25">
      <c r="A557107" s="13" t="s">
        <v>106</v>
      </c>
    </row>
    <row r="557108" spans="1:1" x14ac:dyDescent="0.25">
      <c r="A557108" s="13" t="s">
        <v>101</v>
      </c>
    </row>
    <row r="557109" spans="1:1" x14ac:dyDescent="0.25">
      <c r="A557109" s="13" t="s">
        <v>102</v>
      </c>
    </row>
    <row r="557110" spans="1:1" x14ac:dyDescent="0.25">
      <c r="A557110" s="13" t="s">
        <v>103</v>
      </c>
    </row>
    <row r="557111" spans="1:1" x14ac:dyDescent="0.25">
      <c r="A557111" s="13" t="s">
        <v>104</v>
      </c>
    </row>
    <row r="557112" spans="1:1" x14ac:dyDescent="0.25">
      <c r="A557112" s="13" t="s">
        <v>105</v>
      </c>
    </row>
    <row r="573442" spans="1:1" x14ac:dyDescent="0.25">
      <c r="A573442" s="13" t="s">
        <v>0</v>
      </c>
    </row>
    <row r="573443" spans="1:1" x14ac:dyDescent="0.25">
      <c r="A573443" s="13" t="s">
        <v>125</v>
      </c>
    </row>
    <row r="573444" spans="1:1" x14ac:dyDescent="0.25">
      <c r="A573444" s="13" t="s">
        <v>1</v>
      </c>
    </row>
    <row r="573445" spans="1:1" x14ac:dyDescent="0.25">
      <c r="A573445" s="13" t="s">
        <v>2</v>
      </c>
    </row>
    <row r="573446" spans="1:1" x14ac:dyDescent="0.25">
      <c r="A573446" s="14" t="s">
        <v>25</v>
      </c>
    </row>
    <row r="573447" spans="1:1" x14ac:dyDescent="0.25">
      <c r="A573447" s="13" t="s">
        <v>126</v>
      </c>
    </row>
    <row r="573448" spans="1:1" x14ac:dyDescent="0.25">
      <c r="A573448" s="13" t="s">
        <v>127</v>
      </c>
    </row>
    <row r="573449" spans="1:1" x14ac:dyDescent="0.25">
      <c r="A573449" s="13" t="s">
        <v>88</v>
      </c>
    </row>
    <row r="573450" spans="1:1" x14ac:dyDescent="0.25">
      <c r="A573450" s="13" t="s">
        <v>22</v>
      </c>
    </row>
    <row r="573451" spans="1:1" x14ac:dyDescent="0.25">
      <c r="A573451" s="13" t="s">
        <v>3</v>
      </c>
    </row>
    <row r="573452" spans="1:1" x14ac:dyDescent="0.25">
      <c r="A573452" s="15" t="s">
        <v>95</v>
      </c>
    </row>
    <row r="573453" spans="1:1" x14ac:dyDescent="0.25">
      <c r="A573453" s="15" t="s">
        <v>94</v>
      </c>
    </row>
    <row r="573454" spans="1:1" x14ac:dyDescent="0.25">
      <c r="A573454" s="15" t="s">
        <v>4</v>
      </c>
    </row>
    <row r="573455" spans="1:1" x14ac:dyDescent="0.25">
      <c r="A573455" s="15" t="s">
        <v>118</v>
      </c>
    </row>
    <row r="573456" spans="1:1" x14ac:dyDescent="0.25">
      <c r="A573456" s="15" t="s">
        <v>5</v>
      </c>
    </row>
    <row r="573457" spans="1:1" x14ac:dyDescent="0.25">
      <c r="A573457" s="15" t="s">
        <v>6</v>
      </c>
    </row>
    <row r="573458" spans="1:1" x14ac:dyDescent="0.25">
      <c r="A573458" s="15" t="s">
        <v>7</v>
      </c>
    </row>
    <row r="573459" spans="1:1" x14ac:dyDescent="0.25">
      <c r="A573459" s="15" t="s">
        <v>8</v>
      </c>
    </row>
    <row r="573460" spans="1:1" x14ac:dyDescent="0.25">
      <c r="A573460" s="15" t="s">
        <v>9</v>
      </c>
    </row>
    <row r="573461" spans="1:1" x14ac:dyDescent="0.25">
      <c r="A573461" s="15" t="s">
        <v>10</v>
      </c>
    </row>
    <row r="573462" spans="1:1" x14ac:dyDescent="0.25">
      <c r="A573462" s="15" t="s">
        <v>11</v>
      </c>
    </row>
    <row r="573463" spans="1:1" x14ac:dyDescent="0.25">
      <c r="A573463" s="15" t="s">
        <v>12</v>
      </c>
    </row>
    <row r="573464" spans="1:1" x14ac:dyDescent="0.25">
      <c r="A573464" s="15" t="s">
        <v>13</v>
      </c>
    </row>
    <row r="573465" spans="1:1" x14ac:dyDescent="0.25">
      <c r="A573465" s="15" t="s">
        <v>14</v>
      </c>
    </row>
    <row r="573466" spans="1:1" x14ac:dyDescent="0.25">
      <c r="A573466" s="13" t="s">
        <v>31</v>
      </c>
    </row>
    <row r="573467" spans="1:1" x14ac:dyDescent="0.25">
      <c r="A573467" s="13" t="s">
        <v>87</v>
      </c>
    </row>
    <row r="573468" spans="1:1" x14ac:dyDescent="0.25">
      <c r="A573468" s="15" t="s">
        <v>30</v>
      </c>
    </row>
    <row r="573469" spans="1:1" x14ac:dyDescent="0.25">
      <c r="A573469" s="15" t="s">
        <v>26</v>
      </c>
    </row>
    <row r="573470" spans="1:1" x14ac:dyDescent="0.25">
      <c r="A573470" s="15" t="s">
        <v>27</v>
      </c>
    </row>
    <row r="573471" spans="1:1" x14ac:dyDescent="0.25">
      <c r="A573471" s="15" t="s">
        <v>28</v>
      </c>
    </row>
    <row r="573472" spans="1:1" x14ac:dyDescent="0.25">
      <c r="A573472" s="15" t="s">
        <v>89</v>
      </c>
    </row>
    <row r="573473" spans="1:1" x14ac:dyDescent="0.25">
      <c r="A573473" s="15" t="s">
        <v>90</v>
      </c>
    </row>
    <row r="573474" spans="1:1" x14ac:dyDescent="0.25">
      <c r="A573474" s="15" t="s">
        <v>185</v>
      </c>
    </row>
    <row r="573475" spans="1:1" x14ac:dyDescent="0.25">
      <c r="A573475" s="15" t="s">
        <v>186</v>
      </c>
    </row>
    <row r="573476" spans="1:1" x14ac:dyDescent="0.25">
      <c r="A573476" s="15" t="s">
        <v>187</v>
      </c>
    </row>
    <row r="573477" spans="1:1" x14ac:dyDescent="0.25">
      <c r="A573477" s="15" t="s">
        <v>188</v>
      </c>
    </row>
    <row r="573478" spans="1:1" x14ac:dyDescent="0.25">
      <c r="A573478" s="15" t="s">
        <v>189</v>
      </c>
    </row>
    <row r="573479" spans="1:1" x14ac:dyDescent="0.25">
      <c r="A573479" s="15" t="s">
        <v>190</v>
      </c>
    </row>
    <row r="573480" spans="1:1" x14ac:dyDescent="0.25">
      <c r="A573480" s="15" t="s">
        <v>191</v>
      </c>
    </row>
    <row r="573481" spans="1:1" x14ac:dyDescent="0.25">
      <c r="A573481" s="14" t="s">
        <v>47</v>
      </c>
    </row>
    <row r="573482" spans="1:1" x14ac:dyDescent="0.25">
      <c r="A573482" s="14" t="s">
        <v>119</v>
      </c>
    </row>
    <row r="573483" spans="1:1" x14ac:dyDescent="0.25">
      <c r="A573483" s="14" t="s">
        <v>86</v>
      </c>
    </row>
    <row r="573484" spans="1:1" x14ac:dyDescent="0.25">
      <c r="A573484" s="13" t="s">
        <v>21</v>
      </c>
    </row>
    <row r="573485" spans="1:1" x14ac:dyDescent="0.25">
      <c r="A573485" s="14" t="s">
        <v>92</v>
      </c>
    </row>
    <row r="573486" spans="1:1" x14ac:dyDescent="0.25">
      <c r="A573486" s="14" t="s">
        <v>93</v>
      </c>
    </row>
    <row r="573487" spans="1:1" x14ac:dyDescent="0.25">
      <c r="A573487" s="14" t="s">
        <v>99</v>
      </c>
    </row>
    <row r="573488" spans="1:1" x14ac:dyDescent="0.25">
      <c r="A573488" s="14" t="s">
        <v>100</v>
      </c>
    </row>
    <row r="573489" spans="1:1" x14ac:dyDescent="0.25">
      <c r="A573489" s="13" t="s">
        <v>24</v>
      </c>
    </row>
    <row r="573490" spans="1:1" x14ac:dyDescent="0.25">
      <c r="A573490" s="13" t="s">
        <v>83</v>
      </c>
    </row>
    <row r="573491" spans="1:1" x14ac:dyDescent="0.25">
      <c r="A573491" s="13" t="s">
        <v>106</v>
      </c>
    </row>
    <row r="573492" spans="1:1" x14ac:dyDescent="0.25">
      <c r="A573492" s="13" t="s">
        <v>101</v>
      </c>
    </row>
    <row r="573493" spans="1:1" x14ac:dyDescent="0.25">
      <c r="A573493" s="13" t="s">
        <v>102</v>
      </c>
    </row>
    <row r="573494" spans="1:1" x14ac:dyDescent="0.25">
      <c r="A573494" s="13" t="s">
        <v>103</v>
      </c>
    </row>
    <row r="573495" spans="1:1" x14ac:dyDescent="0.25">
      <c r="A573495" s="13" t="s">
        <v>104</v>
      </c>
    </row>
    <row r="573496" spans="1:1" x14ac:dyDescent="0.25">
      <c r="A573496" s="13" t="s">
        <v>105</v>
      </c>
    </row>
    <row r="589826" spans="1:1" x14ac:dyDescent="0.25">
      <c r="A589826" s="13" t="s">
        <v>0</v>
      </c>
    </row>
    <row r="589827" spans="1:1" x14ac:dyDescent="0.25">
      <c r="A589827" s="13" t="s">
        <v>125</v>
      </c>
    </row>
    <row r="589828" spans="1:1" x14ac:dyDescent="0.25">
      <c r="A589828" s="13" t="s">
        <v>1</v>
      </c>
    </row>
    <row r="589829" spans="1:1" x14ac:dyDescent="0.25">
      <c r="A589829" s="13" t="s">
        <v>2</v>
      </c>
    </row>
    <row r="589830" spans="1:1" x14ac:dyDescent="0.25">
      <c r="A589830" s="14" t="s">
        <v>25</v>
      </c>
    </row>
    <row r="589831" spans="1:1" x14ac:dyDescent="0.25">
      <c r="A589831" s="13" t="s">
        <v>126</v>
      </c>
    </row>
    <row r="589832" spans="1:1" x14ac:dyDescent="0.25">
      <c r="A589832" s="13" t="s">
        <v>127</v>
      </c>
    </row>
    <row r="589833" spans="1:1" x14ac:dyDescent="0.25">
      <c r="A589833" s="13" t="s">
        <v>88</v>
      </c>
    </row>
    <row r="589834" spans="1:1" x14ac:dyDescent="0.25">
      <c r="A589834" s="13" t="s">
        <v>22</v>
      </c>
    </row>
    <row r="589835" spans="1:1" x14ac:dyDescent="0.25">
      <c r="A589835" s="13" t="s">
        <v>3</v>
      </c>
    </row>
    <row r="589836" spans="1:1" x14ac:dyDescent="0.25">
      <c r="A589836" s="15" t="s">
        <v>95</v>
      </c>
    </row>
    <row r="589837" spans="1:1" x14ac:dyDescent="0.25">
      <c r="A589837" s="15" t="s">
        <v>94</v>
      </c>
    </row>
    <row r="589838" spans="1:1" x14ac:dyDescent="0.25">
      <c r="A589838" s="15" t="s">
        <v>4</v>
      </c>
    </row>
    <row r="589839" spans="1:1" x14ac:dyDescent="0.25">
      <c r="A589839" s="15" t="s">
        <v>118</v>
      </c>
    </row>
    <row r="589840" spans="1:1" x14ac:dyDescent="0.25">
      <c r="A589840" s="15" t="s">
        <v>5</v>
      </c>
    </row>
    <row r="589841" spans="1:1" x14ac:dyDescent="0.25">
      <c r="A589841" s="15" t="s">
        <v>6</v>
      </c>
    </row>
    <row r="589842" spans="1:1" x14ac:dyDescent="0.25">
      <c r="A589842" s="15" t="s">
        <v>7</v>
      </c>
    </row>
    <row r="589843" spans="1:1" x14ac:dyDescent="0.25">
      <c r="A589843" s="15" t="s">
        <v>8</v>
      </c>
    </row>
    <row r="589844" spans="1:1" x14ac:dyDescent="0.25">
      <c r="A589844" s="15" t="s">
        <v>9</v>
      </c>
    </row>
    <row r="589845" spans="1:1" x14ac:dyDescent="0.25">
      <c r="A589845" s="15" t="s">
        <v>10</v>
      </c>
    </row>
    <row r="589846" spans="1:1" x14ac:dyDescent="0.25">
      <c r="A589846" s="15" t="s">
        <v>11</v>
      </c>
    </row>
    <row r="589847" spans="1:1" x14ac:dyDescent="0.25">
      <c r="A589847" s="15" t="s">
        <v>12</v>
      </c>
    </row>
    <row r="589848" spans="1:1" x14ac:dyDescent="0.25">
      <c r="A589848" s="15" t="s">
        <v>13</v>
      </c>
    </row>
    <row r="589849" spans="1:1" x14ac:dyDescent="0.25">
      <c r="A589849" s="15" t="s">
        <v>14</v>
      </c>
    </row>
    <row r="589850" spans="1:1" x14ac:dyDescent="0.25">
      <c r="A589850" s="13" t="s">
        <v>31</v>
      </c>
    </row>
    <row r="589851" spans="1:1" x14ac:dyDescent="0.25">
      <c r="A589851" s="13" t="s">
        <v>87</v>
      </c>
    </row>
    <row r="589852" spans="1:1" x14ac:dyDescent="0.25">
      <c r="A589852" s="15" t="s">
        <v>30</v>
      </c>
    </row>
    <row r="589853" spans="1:1" x14ac:dyDescent="0.25">
      <c r="A589853" s="15" t="s">
        <v>26</v>
      </c>
    </row>
    <row r="589854" spans="1:1" x14ac:dyDescent="0.25">
      <c r="A589854" s="15" t="s">
        <v>27</v>
      </c>
    </row>
    <row r="589855" spans="1:1" x14ac:dyDescent="0.25">
      <c r="A589855" s="15" t="s">
        <v>28</v>
      </c>
    </row>
    <row r="589856" spans="1:1" x14ac:dyDescent="0.25">
      <c r="A589856" s="15" t="s">
        <v>89</v>
      </c>
    </row>
    <row r="589857" spans="1:1" x14ac:dyDescent="0.25">
      <c r="A589857" s="15" t="s">
        <v>90</v>
      </c>
    </row>
    <row r="589858" spans="1:1" x14ac:dyDescent="0.25">
      <c r="A589858" s="15" t="s">
        <v>185</v>
      </c>
    </row>
    <row r="589859" spans="1:1" x14ac:dyDescent="0.25">
      <c r="A589859" s="15" t="s">
        <v>186</v>
      </c>
    </row>
    <row r="589860" spans="1:1" x14ac:dyDescent="0.25">
      <c r="A589860" s="15" t="s">
        <v>187</v>
      </c>
    </row>
    <row r="589861" spans="1:1" x14ac:dyDescent="0.25">
      <c r="A589861" s="15" t="s">
        <v>188</v>
      </c>
    </row>
    <row r="589862" spans="1:1" x14ac:dyDescent="0.25">
      <c r="A589862" s="15" t="s">
        <v>189</v>
      </c>
    </row>
    <row r="589863" spans="1:1" x14ac:dyDescent="0.25">
      <c r="A589863" s="15" t="s">
        <v>190</v>
      </c>
    </row>
    <row r="589864" spans="1:1" x14ac:dyDescent="0.25">
      <c r="A589864" s="15" t="s">
        <v>191</v>
      </c>
    </row>
    <row r="589865" spans="1:1" x14ac:dyDescent="0.25">
      <c r="A589865" s="14" t="s">
        <v>47</v>
      </c>
    </row>
    <row r="589866" spans="1:1" x14ac:dyDescent="0.25">
      <c r="A589866" s="14" t="s">
        <v>119</v>
      </c>
    </row>
    <row r="589867" spans="1:1" x14ac:dyDescent="0.25">
      <c r="A589867" s="14" t="s">
        <v>86</v>
      </c>
    </row>
    <row r="589868" spans="1:1" x14ac:dyDescent="0.25">
      <c r="A589868" s="13" t="s">
        <v>21</v>
      </c>
    </row>
    <row r="589869" spans="1:1" x14ac:dyDescent="0.25">
      <c r="A589869" s="14" t="s">
        <v>92</v>
      </c>
    </row>
    <row r="589870" spans="1:1" x14ac:dyDescent="0.25">
      <c r="A589870" s="14" t="s">
        <v>93</v>
      </c>
    </row>
    <row r="589871" spans="1:1" x14ac:dyDescent="0.25">
      <c r="A589871" s="14" t="s">
        <v>99</v>
      </c>
    </row>
    <row r="589872" spans="1:1" x14ac:dyDescent="0.25">
      <c r="A589872" s="14" t="s">
        <v>100</v>
      </c>
    </row>
    <row r="589873" spans="1:1" x14ac:dyDescent="0.25">
      <c r="A589873" s="13" t="s">
        <v>24</v>
      </c>
    </row>
    <row r="589874" spans="1:1" x14ac:dyDescent="0.25">
      <c r="A589874" s="13" t="s">
        <v>83</v>
      </c>
    </row>
    <row r="589875" spans="1:1" x14ac:dyDescent="0.25">
      <c r="A589875" s="13" t="s">
        <v>106</v>
      </c>
    </row>
    <row r="589876" spans="1:1" x14ac:dyDescent="0.25">
      <c r="A589876" s="13" t="s">
        <v>101</v>
      </c>
    </row>
    <row r="589877" spans="1:1" x14ac:dyDescent="0.25">
      <c r="A589877" s="13" t="s">
        <v>102</v>
      </c>
    </row>
    <row r="589878" spans="1:1" x14ac:dyDescent="0.25">
      <c r="A589878" s="13" t="s">
        <v>103</v>
      </c>
    </row>
    <row r="589879" spans="1:1" x14ac:dyDescent="0.25">
      <c r="A589879" s="13" t="s">
        <v>104</v>
      </c>
    </row>
    <row r="589880" spans="1:1" x14ac:dyDescent="0.25">
      <c r="A589880" s="13" t="s">
        <v>105</v>
      </c>
    </row>
    <row r="606210" spans="1:1" x14ac:dyDescent="0.25">
      <c r="A606210" s="13" t="s">
        <v>0</v>
      </c>
    </row>
    <row r="606211" spans="1:1" x14ac:dyDescent="0.25">
      <c r="A606211" s="13" t="s">
        <v>125</v>
      </c>
    </row>
    <row r="606212" spans="1:1" x14ac:dyDescent="0.25">
      <c r="A606212" s="13" t="s">
        <v>1</v>
      </c>
    </row>
    <row r="606213" spans="1:1" x14ac:dyDescent="0.25">
      <c r="A606213" s="13" t="s">
        <v>2</v>
      </c>
    </row>
    <row r="606214" spans="1:1" x14ac:dyDescent="0.25">
      <c r="A606214" s="14" t="s">
        <v>25</v>
      </c>
    </row>
    <row r="606215" spans="1:1" x14ac:dyDescent="0.25">
      <c r="A606215" s="13" t="s">
        <v>126</v>
      </c>
    </row>
    <row r="606216" spans="1:1" x14ac:dyDescent="0.25">
      <c r="A606216" s="13" t="s">
        <v>127</v>
      </c>
    </row>
    <row r="606217" spans="1:1" x14ac:dyDescent="0.25">
      <c r="A606217" s="13" t="s">
        <v>88</v>
      </c>
    </row>
    <row r="606218" spans="1:1" x14ac:dyDescent="0.25">
      <c r="A606218" s="13" t="s">
        <v>22</v>
      </c>
    </row>
    <row r="606219" spans="1:1" x14ac:dyDescent="0.25">
      <c r="A606219" s="13" t="s">
        <v>3</v>
      </c>
    </row>
    <row r="606220" spans="1:1" x14ac:dyDescent="0.25">
      <c r="A606220" s="15" t="s">
        <v>95</v>
      </c>
    </row>
    <row r="606221" spans="1:1" x14ac:dyDescent="0.25">
      <c r="A606221" s="15" t="s">
        <v>94</v>
      </c>
    </row>
    <row r="606222" spans="1:1" x14ac:dyDescent="0.25">
      <c r="A606222" s="15" t="s">
        <v>4</v>
      </c>
    </row>
    <row r="606223" spans="1:1" x14ac:dyDescent="0.25">
      <c r="A606223" s="15" t="s">
        <v>118</v>
      </c>
    </row>
    <row r="606224" spans="1:1" x14ac:dyDescent="0.25">
      <c r="A606224" s="15" t="s">
        <v>5</v>
      </c>
    </row>
    <row r="606225" spans="1:1" x14ac:dyDescent="0.25">
      <c r="A606225" s="15" t="s">
        <v>6</v>
      </c>
    </row>
    <row r="606226" spans="1:1" x14ac:dyDescent="0.25">
      <c r="A606226" s="15" t="s">
        <v>7</v>
      </c>
    </row>
    <row r="606227" spans="1:1" x14ac:dyDescent="0.25">
      <c r="A606227" s="15" t="s">
        <v>8</v>
      </c>
    </row>
    <row r="606228" spans="1:1" x14ac:dyDescent="0.25">
      <c r="A606228" s="15" t="s">
        <v>9</v>
      </c>
    </row>
    <row r="606229" spans="1:1" x14ac:dyDescent="0.25">
      <c r="A606229" s="15" t="s">
        <v>10</v>
      </c>
    </row>
    <row r="606230" spans="1:1" x14ac:dyDescent="0.25">
      <c r="A606230" s="15" t="s">
        <v>11</v>
      </c>
    </row>
    <row r="606231" spans="1:1" x14ac:dyDescent="0.25">
      <c r="A606231" s="15" t="s">
        <v>12</v>
      </c>
    </row>
    <row r="606232" spans="1:1" x14ac:dyDescent="0.25">
      <c r="A606232" s="15" t="s">
        <v>13</v>
      </c>
    </row>
    <row r="606233" spans="1:1" x14ac:dyDescent="0.25">
      <c r="A606233" s="15" t="s">
        <v>14</v>
      </c>
    </row>
    <row r="606234" spans="1:1" x14ac:dyDescent="0.25">
      <c r="A606234" s="13" t="s">
        <v>31</v>
      </c>
    </row>
    <row r="606235" spans="1:1" x14ac:dyDescent="0.25">
      <c r="A606235" s="13" t="s">
        <v>87</v>
      </c>
    </row>
    <row r="606236" spans="1:1" x14ac:dyDescent="0.25">
      <c r="A606236" s="15" t="s">
        <v>30</v>
      </c>
    </row>
    <row r="606237" spans="1:1" x14ac:dyDescent="0.25">
      <c r="A606237" s="15" t="s">
        <v>26</v>
      </c>
    </row>
    <row r="606238" spans="1:1" x14ac:dyDescent="0.25">
      <c r="A606238" s="15" t="s">
        <v>27</v>
      </c>
    </row>
    <row r="606239" spans="1:1" x14ac:dyDescent="0.25">
      <c r="A606239" s="15" t="s">
        <v>28</v>
      </c>
    </row>
    <row r="606240" spans="1:1" x14ac:dyDescent="0.25">
      <c r="A606240" s="15" t="s">
        <v>89</v>
      </c>
    </row>
    <row r="606241" spans="1:1" x14ac:dyDescent="0.25">
      <c r="A606241" s="15" t="s">
        <v>90</v>
      </c>
    </row>
    <row r="606242" spans="1:1" x14ac:dyDescent="0.25">
      <c r="A606242" s="15" t="s">
        <v>185</v>
      </c>
    </row>
    <row r="606243" spans="1:1" x14ac:dyDescent="0.25">
      <c r="A606243" s="15" t="s">
        <v>186</v>
      </c>
    </row>
    <row r="606244" spans="1:1" x14ac:dyDescent="0.25">
      <c r="A606244" s="15" t="s">
        <v>187</v>
      </c>
    </row>
    <row r="606245" spans="1:1" x14ac:dyDescent="0.25">
      <c r="A606245" s="15" t="s">
        <v>188</v>
      </c>
    </row>
    <row r="606246" spans="1:1" x14ac:dyDescent="0.25">
      <c r="A606246" s="15" t="s">
        <v>189</v>
      </c>
    </row>
    <row r="606247" spans="1:1" x14ac:dyDescent="0.25">
      <c r="A606247" s="15" t="s">
        <v>190</v>
      </c>
    </row>
    <row r="606248" spans="1:1" x14ac:dyDescent="0.25">
      <c r="A606248" s="15" t="s">
        <v>191</v>
      </c>
    </row>
    <row r="606249" spans="1:1" x14ac:dyDescent="0.25">
      <c r="A606249" s="14" t="s">
        <v>47</v>
      </c>
    </row>
    <row r="606250" spans="1:1" x14ac:dyDescent="0.25">
      <c r="A606250" s="14" t="s">
        <v>119</v>
      </c>
    </row>
    <row r="606251" spans="1:1" x14ac:dyDescent="0.25">
      <c r="A606251" s="14" t="s">
        <v>86</v>
      </c>
    </row>
    <row r="606252" spans="1:1" x14ac:dyDescent="0.25">
      <c r="A606252" s="13" t="s">
        <v>21</v>
      </c>
    </row>
    <row r="606253" spans="1:1" x14ac:dyDescent="0.25">
      <c r="A606253" s="14" t="s">
        <v>92</v>
      </c>
    </row>
    <row r="606254" spans="1:1" x14ac:dyDescent="0.25">
      <c r="A606254" s="14" t="s">
        <v>93</v>
      </c>
    </row>
    <row r="606255" spans="1:1" x14ac:dyDescent="0.25">
      <c r="A606255" s="14" t="s">
        <v>99</v>
      </c>
    </row>
    <row r="606256" spans="1:1" x14ac:dyDescent="0.25">
      <c r="A606256" s="14" t="s">
        <v>100</v>
      </c>
    </row>
    <row r="606257" spans="1:1" x14ac:dyDescent="0.25">
      <c r="A606257" s="13" t="s">
        <v>24</v>
      </c>
    </row>
    <row r="606258" spans="1:1" x14ac:dyDescent="0.25">
      <c r="A606258" s="13" t="s">
        <v>83</v>
      </c>
    </row>
    <row r="606259" spans="1:1" x14ac:dyDescent="0.25">
      <c r="A606259" s="13" t="s">
        <v>106</v>
      </c>
    </row>
    <row r="606260" spans="1:1" x14ac:dyDescent="0.25">
      <c r="A606260" s="13" t="s">
        <v>101</v>
      </c>
    </row>
    <row r="606261" spans="1:1" x14ac:dyDescent="0.25">
      <c r="A606261" s="13" t="s">
        <v>102</v>
      </c>
    </row>
    <row r="606262" spans="1:1" x14ac:dyDescent="0.25">
      <c r="A606262" s="13" t="s">
        <v>103</v>
      </c>
    </row>
    <row r="606263" spans="1:1" x14ac:dyDescent="0.25">
      <c r="A606263" s="13" t="s">
        <v>104</v>
      </c>
    </row>
    <row r="606264" spans="1:1" x14ac:dyDescent="0.25">
      <c r="A606264" s="13" t="s">
        <v>105</v>
      </c>
    </row>
    <row r="622594" spans="1:1" x14ac:dyDescent="0.25">
      <c r="A622594" s="13" t="s">
        <v>0</v>
      </c>
    </row>
    <row r="622595" spans="1:1" x14ac:dyDescent="0.25">
      <c r="A622595" s="13" t="s">
        <v>125</v>
      </c>
    </row>
    <row r="622596" spans="1:1" x14ac:dyDescent="0.25">
      <c r="A622596" s="13" t="s">
        <v>1</v>
      </c>
    </row>
    <row r="622597" spans="1:1" x14ac:dyDescent="0.25">
      <c r="A622597" s="13" t="s">
        <v>2</v>
      </c>
    </row>
    <row r="622598" spans="1:1" x14ac:dyDescent="0.25">
      <c r="A622598" s="14" t="s">
        <v>25</v>
      </c>
    </row>
    <row r="622599" spans="1:1" x14ac:dyDescent="0.25">
      <c r="A622599" s="13" t="s">
        <v>126</v>
      </c>
    </row>
    <row r="622600" spans="1:1" x14ac:dyDescent="0.25">
      <c r="A622600" s="13" t="s">
        <v>127</v>
      </c>
    </row>
    <row r="622601" spans="1:1" x14ac:dyDescent="0.25">
      <c r="A622601" s="13" t="s">
        <v>88</v>
      </c>
    </row>
    <row r="622602" spans="1:1" x14ac:dyDescent="0.25">
      <c r="A622602" s="13" t="s">
        <v>22</v>
      </c>
    </row>
    <row r="622603" spans="1:1" x14ac:dyDescent="0.25">
      <c r="A622603" s="13" t="s">
        <v>3</v>
      </c>
    </row>
    <row r="622604" spans="1:1" x14ac:dyDescent="0.25">
      <c r="A622604" s="15" t="s">
        <v>95</v>
      </c>
    </row>
    <row r="622605" spans="1:1" x14ac:dyDescent="0.25">
      <c r="A622605" s="15" t="s">
        <v>94</v>
      </c>
    </row>
    <row r="622606" spans="1:1" x14ac:dyDescent="0.25">
      <c r="A622606" s="15" t="s">
        <v>4</v>
      </c>
    </row>
    <row r="622607" spans="1:1" x14ac:dyDescent="0.25">
      <c r="A622607" s="15" t="s">
        <v>118</v>
      </c>
    </row>
    <row r="622608" spans="1:1" x14ac:dyDescent="0.25">
      <c r="A622608" s="15" t="s">
        <v>5</v>
      </c>
    </row>
    <row r="622609" spans="1:1" x14ac:dyDescent="0.25">
      <c r="A622609" s="15" t="s">
        <v>6</v>
      </c>
    </row>
    <row r="622610" spans="1:1" x14ac:dyDescent="0.25">
      <c r="A622610" s="15" t="s">
        <v>7</v>
      </c>
    </row>
    <row r="622611" spans="1:1" x14ac:dyDescent="0.25">
      <c r="A622611" s="15" t="s">
        <v>8</v>
      </c>
    </row>
    <row r="622612" spans="1:1" x14ac:dyDescent="0.25">
      <c r="A622612" s="15" t="s">
        <v>9</v>
      </c>
    </row>
    <row r="622613" spans="1:1" x14ac:dyDescent="0.25">
      <c r="A622613" s="15" t="s">
        <v>10</v>
      </c>
    </row>
    <row r="622614" spans="1:1" x14ac:dyDescent="0.25">
      <c r="A622614" s="15" t="s">
        <v>11</v>
      </c>
    </row>
    <row r="622615" spans="1:1" x14ac:dyDescent="0.25">
      <c r="A622615" s="15" t="s">
        <v>12</v>
      </c>
    </row>
    <row r="622616" spans="1:1" x14ac:dyDescent="0.25">
      <c r="A622616" s="15" t="s">
        <v>13</v>
      </c>
    </row>
    <row r="622617" spans="1:1" x14ac:dyDescent="0.25">
      <c r="A622617" s="15" t="s">
        <v>14</v>
      </c>
    </row>
    <row r="622618" spans="1:1" x14ac:dyDescent="0.25">
      <c r="A622618" s="13" t="s">
        <v>31</v>
      </c>
    </row>
    <row r="622619" spans="1:1" x14ac:dyDescent="0.25">
      <c r="A622619" s="13" t="s">
        <v>87</v>
      </c>
    </row>
    <row r="622620" spans="1:1" x14ac:dyDescent="0.25">
      <c r="A622620" s="15" t="s">
        <v>30</v>
      </c>
    </row>
    <row r="622621" spans="1:1" x14ac:dyDescent="0.25">
      <c r="A622621" s="15" t="s">
        <v>26</v>
      </c>
    </row>
    <row r="622622" spans="1:1" x14ac:dyDescent="0.25">
      <c r="A622622" s="15" t="s">
        <v>27</v>
      </c>
    </row>
    <row r="622623" spans="1:1" x14ac:dyDescent="0.25">
      <c r="A622623" s="15" t="s">
        <v>28</v>
      </c>
    </row>
    <row r="622624" spans="1:1" x14ac:dyDescent="0.25">
      <c r="A622624" s="15" t="s">
        <v>89</v>
      </c>
    </row>
    <row r="622625" spans="1:1" x14ac:dyDescent="0.25">
      <c r="A622625" s="15" t="s">
        <v>90</v>
      </c>
    </row>
    <row r="622626" spans="1:1" x14ac:dyDescent="0.25">
      <c r="A622626" s="15" t="s">
        <v>185</v>
      </c>
    </row>
    <row r="622627" spans="1:1" x14ac:dyDescent="0.25">
      <c r="A622627" s="15" t="s">
        <v>186</v>
      </c>
    </row>
    <row r="622628" spans="1:1" x14ac:dyDescent="0.25">
      <c r="A622628" s="15" t="s">
        <v>187</v>
      </c>
    </row>
    <row r="622629" spans="1:1" x14ac:dyDescent="0.25">
      <c r="A622629" s="15" t="s">
        <v>188</v>
      </c>
    </row>
    <row r="622630" spans="1:1" x14ac:dyDescent="0.25">
      <c r="A622630" s="15" t="s">
        <v>189</v>
      </c>
    </row>
    <row r="622631" spans="1:1" x14ac:dyDescent="0.25">
      <c r="A622631" s="15" t="s">
        <v>190</v>
      </c>
    </row>
    <row r="622632" spans="1:1" x14ac:dyDescent="0.25">
      <c r="A622632" s="15" t="s">
        <v>191</v>
      </c>
    </row>
    <row r="622633" spans="1:1" x14ac:dyDescent="0.25">
      <c r="A622633" s="14" t="s">
        <v>47</v>
      </c>
    </row>
    <row r="622634" spans="1:1" x14ac:dyDescent="0.25">
      <c r="A622634" s="14" t="s">
        <v>119</v>
      </c>
    </row>
    <row r="622635" spans="1:1" x14ac:dyDescent="0.25">
      <c r="A622635" s="14" t="s">
        <v>86</v>
      </c>
    </row>
    <row r="622636" spans="1:1" x14ac:dyDescent="0.25">
      <c r="A622636" s="13" t="s">
        <v>21</v>
      </c>
    </row>
    <row r="622637" spans="1:1" x14ac:dyDescent="0.25">
      <c r="A622637" s="14" t="s">
        <v>92</v>
      </c>
    </row>
    <row r="622638" spans="1:1" x14ac:dyDescent="0.25">
      <c r="A622638" s="14" t="s">
        <v>93</v>
      </c>
    </row>
    <row r="622639" spans="1:1" x14ac:dyDescent="0.25">
      <c r="A622639" s="14" t="s">
        <v>99</v>
      </c>
    </row>
    <row r="622640" spans="1:1" x14ac:dyDescent="0.25">
      <c r="A622640" s="14" t="s">
        <v>100</v>
      </c>
    </row>
    <row r="622641" spans="1:1" x14ac:dyDescent="0.25">
      <c r="A622641" s="13" t="s">
        <v>24</v>
      </c>
    </row>
    <row r="622642" spans="1:1" x14ac:dyDescent="0.25">
      <c r="A622642" s="13" t="s">
        <v>83</v>
      </c>
    </row>
    <row r="622643" spans="1:1" x14ac:dyDescent="0.25">
      <c r="A622643" s="13" t="s">
        <v>106</v>
      </c>
    </row>
    <row r="622644" spans="1:1" x14ac:dyDescent="0.25">
      <c r="A622644" s="13" t="s">
        <v>101</v>
      </c>
    </row>
    <row r="622645" spans="1:1" x14ac:dyDescent="0.25">
      <c r="A622645" s="13" t="s">
        <v>102</v>
      </c>
    </row>
    <row r="622646" spans="1:1" x14ac:dyDescent="0.25">
      <c r="A622646" s="13" t="s">
        <v>103</v>
      </c>
    </row>
    <row r="622647" spans="1:1" x14ac:dyDescent="0.25">
      <c r="A622647" s="13" t="s">
        <v>104</v>
      </c>
    </row>
    <row r="622648" spans="1:1" x14ac:dyDescent="0.25">
      <c r="A622648" s="13" t="s">
        <v>105</v>
      </c>
    </row>
    <row r="638978" spans="1:1" x14ac:dyDescent="0.25">
      <c r="A638978" s="13" t="s">
        <v>0</v>
      </c>
    </row>
    <row r="638979" spans="1:1" x14ac:dyDescent="0.25">
      <c r="A638979" s="13" t="s">
        <v>125</v>
      </c>
    </row>
    <row r="638980" spans="1:1" x14ac:dyDescent="0.25">
      <c r="A638980" s="13" t="s">
        <v>1</v>
      </c>
    </row>
    <row r="638981" spans="1:1" x14ac:dyDescent="0.25">
      <c r="A638981" s="13" t="s">
        <v>2</v>
      </c>
    </row>
    <row r="638982" spans="1:1" x14ac:dyDescent="0.25">
      <c r="A638982" s="14" t="s">
        <v>25</v>
      </c>
    </row>
    <row r="638983" spans="1:1" x14ac:dyDescent="0.25">
      <c r="A638983" s="13" t="s">
        <v>126</v>
      </c>
    </row>
    <row r="638984" spans="1:1" x14ac:dyDescent="0.25">
      <c r="A638984" s="13" t="s">
        <v>127</v>
      </c>
    </row>
    <row r="638985" spans="1:1" x14ac:dyDescent="0.25">
      <c r="A638985" s="13" t="s">
        <v>88</v>
      </c>
    </row>
    <row r="638986" spans="1:1" x14ac:dyDescent="0.25">
      <c r="A638986" s="13" t="s">
        <v>22</v>
      </c>
    </row>
    <row r="638987" spans="1:1" x14ac:dyDescent="0.25">
      <c r="A638987" s="13" t="s">
        <v>3</v>
      </c>
    </row>
    <row r="638988" spans="1:1" x14ac:dyDescent="0.25">
      <c r="A638988" s="15" t="s">
        <v>95</v>
      </c>
    </row>
    <row r="638989" spans="1:1" x14ac:dyDescent="0.25">
      <c r="A638989" s="15" t="s">
        <v>94</v>
      </c>
    </row>
    <row r="638990" spans="1:1" x14ac:dyDescent="0.25">
      <c r="A638990" s="15" t="s">
        <v>4</v>
      </c>
    </row>
    <row r="638991" spans="1:1" x14ac:dyDescent="0.25">
      <c r="A638991" s="15" t="s">
        <v>118</v>
      </c>
    </row>
    <row r="638992" spans="1:1" x14ac:dyDescent="0.25">
      <c r="A638992" s="15" t="s">
        <v>5</v>
      </c>
    </row>
    <row r="638993" spans="1:1" x14ac:dyDescent="0.25">
      <c r="A638993" s="15" t="s">
        <v>6</v>
      </c>
    </row>
    <row r="638994" spans="1:1" x14ac:dyDescent="0.25">
      <c r="A638994" s="15" t="s">
        <v>7</v>
      </c>
    </row>
    <row r="638995" spans="1:1" x14ac:dyDescent="0.25">
      <c r="A638995" s="15" t="s">
        <v>8</v>
      </c>
    </row>
    <row r="638996" spans="1:1" x14ac:dyDescent="0.25">
      <c r="A638996" s="15" t="s">
        <v>9</v>
      </c>
    </row>
    <row r="638997" spans="1:1" x14ac:dyDescent="0.25">
      <c r="A638997" s="15" t="s">
        <v>10</v>
      </c>
    </row>
    <row r="638998" spans="1:1" x14ac:dyDescent="0.25">
      <c r="A638998" s="15" t="s">
        <v>11</v>
      </c>
    </row>
    <row r="638999" spans="1:1" x14ac:dyDescent="0.25">
      <c r="A638999" s="15" t="s">
        <v>12</v>
      </c>
    </row>
    <row r="639000" spans="1:1" x14ac:dyDescent="0.25">
      <c r="A639000" s="15" t="s">
        <v>13</v>
      </c>
    </row>
    <row r="639001" spans="1:1" x14ac:dyDescent="0.25">
      <c r="A639001" s="15" t="s">
        <v>14</v>
      </c>
    </row>
    <row r="639002" spans="1:1" x14ac:dyDescent="0.25">
      <c r="A639002" s="13" t="s">
        <v>31</v>
      </c>
    </row>
    <row r="639003" spans="1:1" x14ac:dyDescent="0.25">
      <c r="A639003" s="13" t="s">
        <v>87</v>
      </c>
    </row>
    <row r="639004" spans="1:1" x14ac:dyDescent="0.25">
      <c r="A639004" s="15" t="s">
        <v>30</v>
      </c>
    </row>
    <row r="639005" spans="1:1" x14ac:dyDescent="0.25">
      <c r="A639005" s="15" t="s">
        <v>26</v>
      </c>
    </row>
    <row r="639006" spans="1:1" x14ac:dyDescent="0.25">
      <c r="A639006" s="15" t="s">
        <v>27</v>
      </c>
    </row>
    <row r="639007" spans="1:1" x14ac:dyDescent="0.25">
      <c r="A639007" s="15" t="s">
        <v>28</v>
      </c>
    </row>
    <row r="639008" spans="1:1" x14ac:dyDescent="0.25">
      <c r="A639008" s="15" t="s">
        <v>89</v>
      </c>
    </row>
    <row r="639009" spans="1:1" x14ac:dyDescent="0.25">
      <c r="A639009" s="15" t="s">
        <v>90</v>
      </c>
    </row>
    <row r="639010" spans="1:1" x14ac:dyDescent="0.25">
      <c r="A639010" s="15" t="s">
        <v>185</v>
      </c>
    </row>
    <row r="639011" spans="1:1" x14ac:dyDescent="0.25">
      <c r="A639011" s="15" t="s">
        <v>186</v>
      </c>
    </row>
    <row r="639012" spans="1:1" x14ac:dyDescent="0.25">
      <c r="A639012" s="15" t="s">
        <v>187</v>
      </c>
    </row>
    <row r="639013" spans="1:1" x14ac:dyDescent="0.25">
      <c r="A639013" s="15" t="s">
        <v>188</v>
      </c>
    </row>
    <row r="639014" spans="1:1" x14ac:dyDescent="0.25">
      <c r="A639014" s="15" t="s">
        <v>189</v>
      </c>
    </row>
    <row r="639015" spans="1:1" x14ac:dyDescent="0.25">
      <c r="A639015" s="15" t="s">
        <v>190</v>
      </c>
    </row>
    <row r="639016" spans="1:1" x14ac:dyDescent="0.25">
      <c r="A639016" s="15" t="s">
        <v>191</v>
      </c>
    </row>
    <row r="639017" spans="1:1" x14ac:dyDescent="0.25">
      <c r="A639017" s="14" t="s">
        <v>47</v>
      </c>
    </row>
    <row r="639018" spans="1:1" x14ac:dyDescent="0.25">
      <c r="A639018" s="14" t="s">
        <v>119</v>
      </c>
    </row>
    <row r="639019" spans="1:1" x14ac:dyDescent="0.25">
      <c r="A639019" s="14" t="s">
        <v>86</v>
      </c>
    </row>
    <row r="639020" spans="1:1" x14ac:dyDescent="0.25">
      <c r="A639020" s="13" t="s">
        <v>21</v>
      </c>
    </row>
    <row r="639021" spans="1:1" x14ac:dyDescent="0.25">
      <c r="A639021" s="14" t="s">
        <v>92</v>
      </c>
    </row>
    <row r="639022" spans="1:1" x14ac:dyDescent="0.25">
      <c r="A639022" s="14" t="s">
        <v>93</v>
      </c>
    </row>
    <row r="639023" spans="1:1" x14ac:dyDescent="0.25">
      <c r="A639023" s="14" t="s">
        <v>99</v>
      </c>
    </row>
    <row r="639024" spans="1:1" x14ac:dyDescent="0.25">
      <c r="A639024" s="14" t="s">
        <v>100</v>
      </c>
    </row>
    <row r="639025" spans="1:1" x14ac:dyDescent="0.25">
      <c r="A639025" s="13" t="s">
        <v>24</v>
      </c>
    </row>
    <row r="639026" spans="1:1" x14ac:dyDescent="0.25">
      <c r="A639026" s="13" t="s">
        <v>83</v>
      </c>
    </row>
    <row r="639027" spans="1:1" x14ac:dyDescent="0.25">
      <c r="A639027" s="13" t="s">
        <v>106</v>
      </c>
    </row>
    <row r="639028" spans="1:1" x14ac:dyDescent="0.25">
      <c r="A639028" s="13" t="s">
        <v>101</v>
      </c>
    </row>
    <row r="639029" spans="1:1" x14ac:dyDescent="0.25">
      <c r="A639029" s="13" t="s">
        <v>102</v>
      </c>
    </row>
    <row r="639030" spans="1:1" x14ac:dyDescent="0.25">
      <c r="A639030" s="13" t="s">
        <v>103</v>
      </c>
    </row>
    <row r="639031" spans="1:1" x14ac:dyDescent="0.25">
      <c r="A639031" s="13" t="s">
        <v>104</v>
      </c>
    </row>
    <row r="639032" spans="1:1" x14ac:dyDescent="0.25">
      <c r="A639032" s="13" t="s">
        <v>105</v>
      </c>
    </row>
    <row r="655362" spans="1:1" x14ac:dyDescent="0.25">
      <c r="A655362" s="13" t="s">
        <v>0</v>
      </c>
    </row>
    <row r="655363" spans="1:1" x14ac:dyDescent="0.25">
      <c r="A655363" s="13" t="s">
        <v>125</v>
      </c>
    </row>
    <row r="655364" spans="1:1" x14ac:dyDescent="0.25">
      <c r="A655364" s="13" t="s">
        <v>1</v>
      </c>
    </row>
    <row r="655365" spans="1:1" x14ac:dyDescent="0.25">
      <c r="A655365" s="13" t="s">
        <v>2</v>
      </c>
    </row>
    <row r="655366" spans="1:1" x14ac:dyDescent="0.25">
      <c r="A655366" s="14" t="s">
        <v>25</v>
      </c>
    </row>
    <row r="655367" spans="1:1" x14ac:dyDescent="0.25">
      <c r="A655367" s="13" t="s">
        <v>126</v>
      </c>
    </row>
    <row r="655368" spans="1:1" x14ac:dyDescent="0.25">
      <c r="A655368" s="13" t="s">
        <v>127</v>
      </c>
    </row>
    <row r="655369" spans="1:1" x14ac:dyDescent="0.25">
      <c r="A655369" s="13" t="s">
        <v>88</v>
      </c>
    </row>
    <row r="655370" spans="1:1" x14ac:dyDescent="0.25">
      <c r="A655370" s="13" t="s">
        <v>22</v>
      </c>
    </row>
    <row r="655371" spans="1:1" x14ac:dyDescent="0.25">
      <c r="A655371" s="13" t="s">
        <v>3</v>
      </c>
    </row>
    <row r="655372" spans="1:1" x14ac:dyDescent="0.25">
      <c r="A655372" s="15" t="s">
        <v>95</v>
      </c>
    </row>
    <row r="655373" spans="1:1" x14ac:dyDescent="0.25">
      <c r="A655373" s="15" t="s">
        <v>94</v>
      </c>
    </row>
    <row r="655374" spans="1:1" x14ac:dyDescent="0.25">
      <c r="A655374" s="15" t="s">
        <v>4</v>
      </c>
    </row>
    <row r="655375" spans="1:1" x14ac:dyDescent="0.25">
      <c r="A655375" s="15" t="s">
        <v>118</v>
      </c>
    </row>
    <row r="655376" spans="1:1" x14ac:dyDescent="0.25">
      <c r="A655376" s="15" t="s">
        <v>5</v>
      </c>
    </row>
    <row r="655377" spans="1:1" x14ac:dyDescent="0.25">
      <c r="A655377" s="15" t="s">
        <v>6</v>
      </c>
    </row>
    <row r="655378" spans="1:1" x14ac:dyDescent="0.25">
      <c r="A655378" s="15" t="s">
        <v>7</v>
      </c>
    </row>
    <row r="655379" spans="1:1" x14ac:dyDescent="0.25">
      <c r="A655379" s="15" t="s">
        <v>8</v>
      </c>
    </row>
    <row r="655380" spans="1:1" x14ac:dyDescent="0.25">
      <c r="A655380" s="15" t="s">
        <v>9</v>
      </c>
    </row>
    <row r="655381" spans="1:1" x14ac:dyDescent="0.25">
      <c r="A655381" s="15" t="s">
        <v>10</v>
      </c>
    </row>
    <row r="655382" spans="1:1" x14ac:dyDescent="0.25">
      <c r="A655382" s="15" t="s">
        <v>11</v>
      </c>
    </row>
    <row r="655383" spans="1:1" x14ac:dyDescent="0.25">
      <c r="A655383" s="15" t="s">
        <v>12</v>
      </c>
    </row>
    <row r="655384" spans="1:1" x14ac:dyDescent="0.25">
      <c r="A655384" s="15" t="s">
        <v>13</v>
      </c>
    </row>
    <row r="655385" spans="1:1" x14ac:dyDescent="0.25">
      <c r="A655385" s="15" t="s">
        <v>14</v>
      </c>
    </row>
    <row r="655386" spans="1:1" x14ac:dyDescent="0.25">
      <c r="A655386" s="13" t="s">
        <v>31</v>
      </c>
    </row>
    <row r="655387" spans="1:1" x14ac:dyDescent="0.25">
      <c r="A655387" s="13" t="s">
        <v>87</v>
      </c>
    </row>
    <row r="655388" spans="1:1" x14ac:dyDescent="0.25">
      <c r="A655388" s="15" t="s">
        <v>30</v>
      </c>
    </row>
    <row r="655389" spans="1:1" x14ac:dyDescent="0.25">
      <c r="A655389" s="15" t="s">
        <v>26</v>
      </c>
    </row>
    <row r="655390" spans="1:1" x14ac:dyDescent="0.25">
      <c r="A655390" s="15" t="s">
        <v>27</v>
      </c>
    </row>
    <row r="655391" spans="1:1" x14ac:dyDescent="0.25">
      <c r="A655391" s="15" t="s">
        <v>28</v>
      </c>
    </row>
    <row r="655392" spans="1:1" x14ac:dyDescent="0.25">
      <c r="A655392" s="15" t="s">
        <v>89</v>
      </c>
    </row>
    <row r="655393" spans="1:1" x14ac:dyDescent="0.25">
      <c r="A655393" s="15" t="s">
        <v>90</v>
      </c>
    </row>
    <row r="655394" spans="1:1" x14ac:dyDescent="0.25">
      <c r="A655394" s="15" t="s">
        <v>185</v>
      </c>
    </row>
    <row r="655395" spans="1:1" x14ac:dyDescent="0.25">
      <c r="A655395" s="15" t="s">
        <v>186</v>
      </c>
    </row>
    <row r="655396" spans="1:1" x14ac:dyDescent="0.25">
      <c r="A655396" s="15" t="s">
        <v>187</v>
      </c>
    </row>
    <row r="655397" spans="1:1" x14ac:dyDescent="0.25">
      <c r="A655397" s="15" t="s">
        <v>188</v>
      </c>
    </row>
    <row r="655398" spans="1:1" x14ac:dyDescent="0.25">
      <c r="A655398" s="15" t="s">
        <v>189</v>
      </c>
    </row>
    <row r="655399" spans="1:1" x14ac:dyDescent="0.25">
      <c r="A655399" s="15" t="s">
        <v>190</v>
      </c>
    </row>
    <row r="655400" spans="1:1" x14ac:dyDescent="0.25">
      <c r="A655400" s="15" t="s">
        <v>191</v>
      </c>
    </row>
    <row r="655401" spans="1:1" x14ac:dyDescent="0.25">
      <c r="A655401" s="14" t="s">
        <v>47</v>
      </c>
    </row>
    <row r="655402" spans="1:1" x14ac:dyDescent="0.25">
      <c r="A655402" s="14" t="s">
        <v>119</v>
      </c>
    </row>
    <row r="655403" spans="1:1" x14ac:dyDescent="0.25">
      <c r="A655403" s="14" t="s">
        <v>86</v>
      </c>
    </row>
    <row r="655404" spans="1:1" x14ac:dyDescent="0.25">
      <c r="A655404" s="13" t="s">
        <v>21</v>
      </c>
    </row>
    <row r="655405" spans="1:1" x14ac:dyDescent="0.25">
      <c r="A655405" s="14" t="s">
        <v>92</v>
      </c>
    </row>
    <row r="655406" spans="1:1" x14ac:dyDescent="0.25">
      <c r="A655406" s="14" t="s">
        <v>93</v>
      </c>
    </row>
    <row r="655407" spans="1:1" x14ac:dyDescent="0.25">
      <c r="A655407" s="14" t="s">
        <v>99</v>
      </c>
    </row>
    <row r="655408" spans="1:1" x14ac:dyDescent="0.25">
      <c r="A655408" s="14" t="s">
        <v>100</v>
      </c>
    </row>
    <row r="655409" spans="1:1" x14ac:dyDescent="0.25">
      <c r="A655409" s="13" t="s">
        <v>24</v>
      </c>
    </row>
    <row r="655410" spans="1:1" x14ac:dyDescent="0.25">
      <c r="A655410" s="13" t="s">
        <v>83</v>
      </c>
    </row>
    <row r="655411" spans="1:1" x14ac:dyDescent="0.25">
      <c r="A655411" s="13" t="s">
        <v>106</v>
      </c>
    </row>
    <row r="655412" spans="1:1" x14ac:dyDescent="0.25">
      <c r="A655412" s="13" t="s">
        <v>101</v>
      </c>
    </row>
    <row r="655413" spans="1:1" x14ac:dyDescent="0.25">
      <c r="A655413" s="13" t="s">
        <v>102</v>
      </c>
    </row>
    <row r="655414" spans="1:1" x14ac:dyDescent="0.25">
      <c r="A655414" s="13" t="s">
        <v>103</v>
      </c>
    </row>
    <row r="655415" spans="1:1" x14ac:dyDescent="0.25">
      <c r="A655415" s="13" t="s">
        <v>104</v>
      </c>
    </row>
    <row r="655416" spans="1:1" x14ac:dyDescent="0.25">
      <c r="A655416" s="13" t="s">
        <v>105</v>
      </c>
    </row>
    <row r="671746" spans="1:1" x14ac:dyDescent="0.25">
      <c r="A671746" s="13" t="s">
        <v>0</v>
      </c>
    </row>
    <row r="671747" spans="1:1" x14ac:dyDescent="0.25">
      <c r="A671747" s="13" t="s">
        <v>125</v>
      </c>
    </row>
    <row r="671748" spans="1:1" x14ac:dyDescent="0.25">
      <c r="A671748" s="13" t="s">
        <v>1</v>
      </c>
    </row>
    <row r="671749" spans="1:1" x14ac:dyDescent="0.25">
      <c r="A671749" s="13" t="s">
        <v>2</v>
      </c>
    </row>
    <row r="671750" spans="1:1" x14ac:dyDescent="0.25">
      <c r="A671750" s="14" t="s">
        <v>25</v>
      </c>
    </row>
    <row r="671751" spans="1:1" x14ac:dyDescent="0.25">
      <c r="A671751" s="13" t="s">
        <v>126</v>
      </c>
    </row>
    <row r="671752" spans="1:1" x14ac:dyDescent="0.25">
      <c r="A671752" s="13" t="s">
        <v>127</v>
      </c>
    </row>
    <row r="671753" spans="1:1" x14ac:dyDescent="0.25">
      <c r="A671753" s="13" t="s">
        <v>88</v>
      </c>
    </row>
    <row r="671754" spans="1:1" x14ac:dyDescent="0.25">
      <c r="A671754" s="13" t="s">
        <v>22</v>
      </c>
    </row>
    <row r="671755" spans="1:1" x14ac:dyDescent="0.25">
      <c r="A671755" s="13" t="s">
        <v>3</v>
      </c>
    </row>
    <row r="671756" spans="1:1" x14ac:dyDescent="0.25">
      <c r="A671756" s="15" t="s">
        <v>95</v>
      </c>
    </row>
    <row r="671757" spans="1:1" x14ac:dyDescent="0.25">
      <c r="A671757" s="15" t="s">
        <v>94</v>
      </c>
    </row>
    <row r="671758" spans="1:1" x14ac:dyDescent="0.25">
      <c r="A671758" s="15" t="s">
        <v>4</v>
      </c>
    </row>
    <row r="671759" spans="1:1" x14ac:dyDescent="0.25">
      <c r="A671759" s="15" t="s">
        <v>118</v>
      </c>
    </row>
    <row r="671760" spans="1:1" x14ac:dyDescent="0.25">
      <c r="A671760" s="15" t="s">
        <v>5</v>
      </c>
    </row>
    <row r="671761" spans="1:1" x14ac:dyDescent="0.25">
      <c r="A671761" s="15" t="s">
        <v>6</v>
      </c>
    </row>
    <row r="671762" spans="1:1" x14ac:dyDescent="0.25">
      <c r="A671762" s="15" t="s">
        <v>7</v>
      </c>
    </row>
    <row r="671763" spans="1:1" x14ac:dyDescent="0.25">
      <c r="A671763" s="15" t="s">
        <v>8</v>
      </c>
    </row>
    <row r="671764" spans="1:1" x14ac:dyDescent="0.25">
      <c r="A671764" s="15" t="s">
        <v>9</v>
      </c>
    </row>
    <row r="671765" spans="1:1" x14ac:dyDescent="0.25">
      <c r="A671765" s="15" t="s">
        <v>10</v>
      </c>
    </row>
    <row r="671766" spans="1:1" x14ac:dyDescent="0.25">
      <c r="A671766" s="15" t="s">
        <v>11</v>
      </c>
    </row>
    <row r="671767" spans="1:1" x14ac:dyDescent="0.25">
      <c r="A671767" s="15" t="s">
        <v>12</v>
      </c>
    </row>
    <row r="671768" spans="1:1" x14ac:dyDescent="0.25">
      <c r="A671768" s="15" t="s">
        <v>13</v>
      </c>
    </row>
    <row r="671769" spans="1:1" x14ac:dyDescent="0.25">
      <c r="A671769" s="15" t="s">
        <v>14</v>
      </c>
    </row>
    <row r="671770" spans="1:1" x14ac:dyDescent="0.25">
      <c r="A671770" s="13" t="s">
        <v>31</v>
      </c>
    </row>
    <row r="671771" spans="1:1" x14ac:dyDescent="0.25">
      <c r="A671771" s="13" t="s">
        <v>87</v>
      </c>
    </row>
    <row r="671772" spans="1:1" x14ac:dyDescent="0.25">
      <c r="A671772" s="15" t="s">
        <v>30</v>
      </c>
    </row>
    <row r="671773" spans="1:1" x14ac:dyDescent="0.25">
      <c r="A671773" s="15" t="s">
        <v>26</v>
      </c>
    </row>
    <row r="671774" spans="1:1" x14ac:dyDescent="0.25">
      <c r="A671774" s="15" t="s">
        <v>27</v>
      </c>
    </row>
    <row r="671775" spans="1:1" x14ac:dyDescent="0.25">
      <c r="A671775" s="15" t="s">
        <v>28</v>
      </c>
    </row>
    <row r="671776" spans="1:1" x14ac:dyDescent="0.25">
      <c r="A671776" s="15" t="s">
        <v>89</v>
      </c>
    </row>
    <row r="671777" spans="1:1" x14ac:dyDescent="0.25">
      <c r="A671777" s="15" t="s">
        <v>90</v>
      </c>
    </row>
    <row r="671778" spans="1:1" x14ac:dyDescent="0.25">
      <c r="A671778" s="15" t="s">
        <v>185</v>
      </c>
    </row>
    <row r="671779" spans="1:1" x14ac:dyDescent="0.25">
      <c r="A671779" s="15" t="s">
        <v>186</v>
      </c>
    </row>
    <row r="671780" spans="1:1" x14ac:dyDescent="0.25">
      <c r="A671780" s="15" t="s">
        <v>187</v>
      </c>
    </row>
    <row r="671781" spans="1:1" x14ac:dyDescent="0.25">
      <c r="A671781" s="15" t="s">
        <v>188</v>
      </c>
    </row>
    <row r="671782" spans="1:1" x14ac:dyDescent="0.25">
      <c r="A671782" s="15" t="s">
        <v>189</v>
      </c>
    </row>
    <row r="671783" spans="1:1" x14ac:dyDescent="0.25">
      <c r="A671783" s="15" t="s">
        <v>190</v>
      </c>
    </row>
    <row r="671784" spans="1:1" x14ac:dyDescent="0.25">
      <c r="A671784" s="15" t="s">
        <v>191</v>
      </c>
    </row>
    <row r="671785" spans="1:1" x14ac:dyDescent="0.25">
      <c r="A671785" s="14" t="s">
        <v>47</v>
      </c>
    </row>
    <row r="671786" spans="1:1" x14ac:dyDescent="0.25">
      <c r="A671786" s="14" t="s">
        <v>119</v>
      </c>
    </row>
    <row r="671787" spans="1:1" x14ac:dyDescent="0.25">
      <c r="A671787" s="14" t="s">
        <v>86</v>
      </c>
    </row>
    <row r="671788" spans="1:1" x14ac:dyDescent="0.25">
      <c r="A671788" s="13" t="s">
        <v>21</v>
      </c>
    </row>
    <row r="671789" spans="1:1" x14ac:dyDescent="0.25">
      <c r="A671789" s="14" t="s">
        <v>92</v>
      </c>
    </row>
    <row r="671790" spans="1:1" x14ac:dyDescent="0.25">
      <c r="A671790" s="14" t="s">
        <v>93</v>
      </c>
    </row>
    <row r="671791" spans="1:1" x14ac:dyDescent="0.25">
      <c r="A671791" s="14" t="s">
        <v>99</v>
      </c>
    </row>
    <row r="671792" spans="1:1" x14ac:dyDescent="0.25">
      <c r="A671792" s="14" t="s">
        <v>100</v>
      </c>
    </row>
    <row r="671793" spans="1:1" x14ac:dyDescent="0.25">
      <c r="A671793" s="13" t="s">
        <v>24</v>
      </c>
    </row>
    <row r="671794" spans="1:1" x14ac:dyDescent="0.25">
      <c r="A671794" s="13" t="s">
        <v>83</v>
      </c>
    </row>
    <row r="671795" spans="1:1" x14ac:dyDescent="0.25">
      <c r="A671795" s="13" t="s">
        <v>106</v>
      </c>
    </row>
    <row r="671796" spans="1:1" x14ac:dyDescent="0.25">
      <c r="A671796" s="13" t="s">
        <v>101</v>
      </c>
    </row>
    <row r="671797" spans="1:1" x14ac:dyDescent="0.25">
      <c r="A671797" s="13" t="s">
        <v>102</v>
      </c>
    </row>
    <row r="671798" spans="1:1" x14ac:dyDescent="0.25">
      <c r="A671798" s="13" t="s">
        <v>103</v>
      </c>
    </row>
    <row r="671799" spans="1:1" x14ac:dyDescent="0.25">
      <c r="A671799" s="13" t="s">
        <v>104</v>
      </c>
    </row>
    <row r="671800" spans="1:1" x14ac:dyDescent="0.25">
      <c r="A671800" s="13" t="s">
        <v>105</v>
      </c>
    </row>
    <row r="688130" spans="1:1" x14ac:dyDescent="0.25">
      <c r="A688130" s="13" t="s">
        <v>0</v>
      </c>
    </row>
    <row r="688131" spans="1:1" x14ac:dyDescent="0.25">
      <c r="A688131" s="13" t="s">
        <v>125</v>
      </c>
    </row>
    <row r="688132" spans="1:1" x14ac:dyDescent="0.25">
      <c r="A688132" s="13" t="s">
        <v>1</v>
      </c>
    </row>
    <row r="688133" spans="1:1" x14ac:dyDescent="0.25">
      <c r="A688133" s="13" t="s">
        <v>2</v>
      </c>
    </row>
    <row r="688134" spans="1:1" x14ac:dyDescent="0.25">
      <c r="A688134" s="14" t="s">
        <v>25</v>
      </c>
    </row>
    <row r="688135" spans="1:1" x14ac:dyDescent="0.25">
      <c r="A688135" s="13" t="s">
        <v>126</v>
      </c>
    </row>
    <row r="688136" spans="1:1" x14ac:dyDescent="0.25">
      <c r="A688136" s="13" t="s">
        <v>127</v>
      </c>
    </row>
    <row r="688137" spans="1:1" x14ac:dyDescent="0.25">
      <c r="A688137" s="13" t="s">
        <v>88</v>
      </c>
    </row>
    <row r="688138" spans="1:1" x14ac:dyDescent="0.25">
      <c r="A688138" s="13" t="s">
        <v>22</v>
      </c>
    </row>
    <row r="688139" spans="1:1" x14ac:dyDescent="0.25">
      <c r="A688139" s="13" t="s">
        <v>3</v>
      </c>
    </row>
    <row r="688140" spans="1:1" x14ac:dyDescent="0.25">
      <c r="A688140" s="15" t="s">
        <v>95</v>
      </c>
    </row>
    <row r="688141" spans="1:1" x14ac:dyDescent="0.25">
      <c r="A688141" s="15" t="s">
        <v>94</v>
      </c>
    </row>
    <row r="688142" spans="1:1" x14ac:dyDescent="0.25">
      <c r="A688142" s="15" t="s">
        <v>4</v>
      </c>
    </row>
    <row r="688143" spans="1:1" x14ac:dyDescent="0.25">
      <c r="A688143" s="15" t="s">
        <v>118</v>
      </c>
    </row>
    <row r="688144" spans="1:1" x14ac:dyDescent="0.25">
      <c r="A688144" s="15" t="s">
        <v>5</v>
      </c>
    </row>
    <row r="688145" spans="1:1" x14ac:dyDescent="0.25">
      <c r="A688145" s="15" t="s">
        <v>6</v>
      </c>
    </row>
    <row r="688146" spans="1:1" x14ac:dyDescent="0.25">
      <c r="A688146" s="15" t="s">
        <v>7</v>
      </c>
    </row>
    <row r="688147" spans="1:1" x14ac:dyDescent="0.25">
      <c r="A688147" s="15" t="s">
        <v>8</v>
      </c>
    </row>
    <row r="688148" spans="1:1" x14ac:dyDescent="0.25">
      <c r="A688148" s="15" t="s">
        <v>9</v>
      </c>
    </row>
    <row r="688149" spans="1:1" x14ac:dyDescent="0.25">
      <c r="A688149" s="15" t="s">
        <v>10</v>
      </c>
    </row>
    <row r="688150" spans="1:1" x14ac:dyDescent="0.25">
      <c r="A688150" s="15" t="s">
        <v>11</v>
      </c>
    </row>
    <row r="688151" spans="1:1" x14ac:dyDescent="0.25">
      <c r="A688151" s="15" t="s">
        <v>12</v>
      </c>
    </row>
    <row r="688152" spans="1:1" x14ac:dyDescent="0.25">
      <c r="A688152" s="15" t="s">
        <v>13</v>
      </c>
    </row>
    <row r="688153" spans="1:1" x14ac:dyDescent="0.25">
      <c r="A688153" s="15" t="s">
        <v>14</v>
      </c>
    </row>
    <row r="688154" spans="1:1" x14ac:dyDescent="0.25">
      <c r="A688154" s="13" t="s">
        <v>31</v>
      </c>
    </row>
    <row r="688155" spans="1:1" x14ac:dyDescent="0.25">
      <c r="A688155" s="13" t="s">
        <v>87</v>
      </c>
    </row>
    <row r="688156" spans="1:1" x14ac:dyDescent="0.25">
      <c r="A688156" s="15" t="s">
        <v>30</v>
      </c>
    </row>
    <row r="688157" spans="1:1" x14ac:dyDescent="0.25">
      <c r="A688157" s="15" t="s">
        <v>26</v>
      </c>
    </row>
    <row r="688158" spans="1:1" x14ac:dyDescent="0.25">
      <c r="A688158" s="15" t="s">
        <v>27</v>
      </c>
    </row>
    <row r="688159" spans="1:1" x14ac:dyDescent="0.25">
      <c r="A688159" s="15" t="s">
        <v>28</v>
      </c>
    </row>
    <row r="688160" spans="1:1" x14ac:dyDescent="0.25">
      <c r="A688160" s="15" t="s">
        <v>89</v>
      </c>
    </row>
    <row r="688161" spans="1:1" x14ac:dyDescent="0.25">
      <c r="A688161" s="15" t="s">
        <v>90</v>
      </c>
    </row>
    <row r="688162" spans="1:1" x14ac:dyDescent="0.25">
      <c r="A688162" s="15" t="s">
        <v>185</v>
      </c>
    </row>
    <row r="688163" spans="1:1" x14ac:dyDescent="0.25">
      <c r="A688163" s="15" t="s">
        <v>186</v>
      </c>
    </row>
    <row r="688164" spans="1:1" x14ac:dyDescent="0.25">
      <c r="A688164" s="15" t="s">
        <v>187</v>
      </c>
    </row>
    <row r="688165" spans="1:1" x14ac:dyDescent="0.25">
      <c r="A688165" s="15" t="s">
        <v>188</v>
      </c>
    </row>
    <row r="688166" spans="1:1" x14ac:dyDescent="0.25">
      <c r="A688166" s="15" t="s">
        <v>189</v>
      </c>
    </row>
    <row r="688167" spans="1:1" x14ac:dyDescent="0.25">
      <c r="A688167" s="15" t="s">
        <v>190</v>
      </c>
    </row>
    <row r="688168" spans="1:1" x14ac:dyDescent="0.25">
      <c r="A688168" s="15" t="s">
        <v>191</v>
      </c>
    </row>
    <row r="688169" spans="1:1" x14ac:dyDescent="0.25">
      <c r="A688169" s="14" t="s">
        <v>47</v>
      </c>
    </row>
    <row r="688170" spans="1:1" x14ac:dyDescent="0.25">
      <c r="A688170" s="14" t="s">
        <v>119</v>
      </c>
    </row>
    <row r="688171" spans="1:1" x14ac:dyDescent="0.25">
      <c r="A688171" s="14" t="s">
        <v>86</v>
      </c>
    </row>
    <row r="688172" spans="1:1" x14ac:dyDescent="0.25">
      <c r="A688172" s="13" t="s">
        <v>21</v>
      </c>
    </row>
    <row r="688173" spans="1:1" x14ac:dyDescent="0.25">
      <c r="A688173" s="14" t="s">
        <v>92</v>
      </c>
    </row>
    <row r="688174" spans="1:1" x14ac:dyDescent="0.25">
      <c r="A688174" s="14" t="s">
        <v>93</v>
      </c>
    </row>
    <row r="688175" spans="1:1" x14ac:dyDescent="0.25">
      <c r="A688175" s="14" t="s">
        <v>99</v>
      </c>
    </row>
    <row r="688176" spans="1:1" x14ac:dyDescent="0.25">
      <c r="A688176" s="14" t="s">
        <v>100</v>
      </c>
    </row>
    <row r="688177" spans="1:1" x14ac:dyDescent="0.25">
      <c r="A688177" s="13" t="s">
        <v>24</v>
      </c>
    </row>
    <row r="688178" spans="1:1" x14ac:dyDescent="0.25">
      <c r="A688178" s="13" t="s">
        <v>83</v>
      </c>
    </row>
    <row r="688179" spans="1:1" x14ac:dyDescent="0.25">
      <c r="A688179" s="13" t="s">
        <v>106</v>
      </c>
    </row>
    <row r="688180" spans="1:1" x14ac:dyDescent="0.25">
      <c r="A688180" s="13" t="s">
        <v>101</v>
      </c>
    </row>
    <row r="688181" spans="1:1" x14ac:dyDescent="0.25">
      <c r="A688181" s="13" t="s">
        <v>102</v>
      </c>
    </row>
    <row r="688182" spans="1:1" x14ac:dyDescent="0.25">
      <c r="A688182" s="13" t="s">
        <v>103</v>
      </c>
    </row>
    <row r="688183" spans="1:1" x14ac:dyDescent="0.25">
      <c r="A688183" s="13" t="s">
        <v>104</v>
      </c>
    </row>
    <row r="688184" spans="1:1" x14ac:dyDescent="0.25">
      <c r="A688184" s="13" t="s">
        <v>105</v>
      </c>
    </row>
    <row r="704514" spans="1:1" x14ac:dyDescent="0.25">
      <c r="A704514" s="13" t="s">
        <v>0</v>
      </c>
    </row>
    <row r="704515" spans="1:1" x14ac:dyDescent="0.25">
      <c r="A704515" s="13" t="s">
        <v>125</v>
      </c>
    </row>
    <row r="704516" spans="1:1" x14ac:dyDescent="0.25">
      <c r="A704516" s="13" t="s">
        <v>1</v>
      </c>
    </row>
    <row r="704517" spans="1:1" x14ac:dyDescent="0.25">
      <c r="A704517" s="13" t="s">
        <v>2</v>
      </c>
    </row>
    <row r="704518" spans="1:1" x14ac:dyDescent="0.25">
      <c r="A704518" s="14" t="s">
        <v>25</v>
      </c>
    </row>
    <row r="704519" spans="1:1" x14ac:dyDescent="0.25">
      <c r="A704519" s="13" t="s">
        <v>126</v>
      </c>
    </row>
    <row r="704520" spans="1:1" x14ac:dyDescent="0.25">
      <c r="A704520" s="13" t="s">
        <v>127</v>
      </c>
    </row>
    <row r="704521" spans="1:1" x14ac:dyDescent="0.25">
      <c r="A704521" s="13" t="s">
        <v>88</v>
      </c>
    </row>
    <row r="704522" spans="1:1" x14ac:dyDescent="0.25">
      <c r="A704522" s="13" t="s">
        <v>22</v>
      </c>
    </row>
    <row r="704523" spans="1:1" x14ac:dyDescent="0.25">
      <c r="A704523" s="13" t="s">
        <v>3</v>
      </c>
    </row>
    <row r="704524" spans="1:1" x14ac:dyDescent="0.25">
      <c r="A704524" s="15" t="s">
        <v>95</v>
      </c>
    </row>
    <row r="704525" spans="1:1" x14ac:dyDescent="0.25">
      <c r="A704525" s="15" t="s">
        <v>94</v>
      </c>
    </row>
    <row r="704526" spans="1:1" x14ac:dyDescent="0.25">
      <c r="A704526" s="15" t="s">
        <v>4</v>
      </c>
    </row>
    <row r="704527" spans="1:1" x14ac:dyDescent="0.25">
      <c r="A704527" s="15" t="s">
        <v>118</v>
      </c>
    </row>
    <row r="704528" spans="1:1" x14ac:dyDescent="0.25">
      <c r="A704528" s="15" t="s">
        <v>5</v>
      </c>
    </row>
    <row r="704529" spans="1:1" x14ac:dyDescent="0.25">
      <c r="A704529" s="15" t="s">
        <v>6</v>
      </c>
    </row>
    <row r="704530" spans="1:1" x14ac:dyDescent="0.25">
      <c r="A704530" s="15" t="s">
        <v>7</v>
      </c>
    </row>
    <row r="704531" spans="1:1" x14ac:dyDescent="0.25">
      <c r="A704531" s="15" t="s">
        <v>8</v>
      </c>
    </row>
    <row r="704532" spans="1:1" x14ac:dyDescent="0.25">
      <c r="A704532" s="15" t="s">
        <v>9</v>
      </c>
    </row>
    <row r="704533" spans="1:1" x14ac:dyDescent="0.25">
      <c r="A704533" s="15" t="s">
        <v>10</v>
      </c>
    </row>
    <row r="704534" spans="1:1" x14ac:dyDescent="0.25">
      <c r="A704534" s="15" t="s">
        <v>11</v>
      </c>
    </row>
    <row r="704535" spans="1:1" x14ac:dyDescent="0.25">
      <c r="A704535" s="15" t="s">
        <v>12</v>
      </c>
    </row>
    <row r="704536" spans="1:1" x14ac:dyDescent="0.25">
      <c r="A704536" s="15" t="s">
        <v>13</v>
      </c>
    </row>
    <row r="704537" spans="1:1" x14ac:dyDescent="0.25">
      <c r="A704537" s="15" t="s">
        <v>14</v>
      </c>
    </row>
    <row r="704538" spans="1:1" x14ac:dyDescent="0.25">
      <c r="A704538" s="13" t="s">
        <v>31</v>
      </c>
    </row>
    <row r="704539" spans="1:1" x14ac:dyDescent="0.25">
      <c r="A704539" s="13" t="s">
        <v>87</v>
      </c>
    </row>
    <row r="704540" spans="1:1" x14ac:dyDescent="0.25">
      <c r="A704540" s="15" t="s">
        <v>30</v>
      </c>
    </row>
    <row r="704541" spans="1:1" x14ac:dyDescent="0.25">
      <c r="A704541" s="15" t="s">
        <v>26</v>
      </c>
    </row>
    <row r="704542" spans="1:1" x14ac:dyDescent="0.25">
      <c r="A704542" s="15" t="s">
        <v>27</v>
      </c>
    </row>
    <row r="704543" spans="1:1" x14ac:dyDescent="0.25">
      <c r="A704543" s="15" t="s">
        <v>28</v>
      </c>
    </row>
    <row r="704544" spans="1:1" x14ac:dyDescent="0.25">
      <c r="A704544" s="15" t="s">
        <v>89</v>
      </c>
    </row>
    <row r="704545" spans="1:1" x14ac:dyDescent="0.25">
      <c r="A704545" s="15" t="s">
        <v>90</v>
      </c>
    </row>
    <row r="704546" spans="1:1" x14ac:dyDescent="0.25">
      <c r="A704546" s="15" t="s">
        <v>185</v>
      </c>
    </row>
    <row r="704547" spans="1:1" x14ac:dyDescent="0.25">
      <c r="A704547" s="15" t="s">
        <v>186</v>
      </c>
    </row>
    <row r="704548" spans="1:1" x14ac:dyDescent="0.25">
      <c r="A704548" s="15" t="s">
        <v>187</v>
      </c>
    </row>
    <row r="704549" spans="1:1" x14ac:dyDescent="0.25">
      <c r="A704549" s="15" t="s">
        <v>188</v>
      </c>
    </row>
    <row r="704550" spans="1:1" x14ac:dyDescent="0.25">
      <c r="A704550" s="15" t="s">
        <v>189</v>
      </c>
    </row>
    <row r="704551" spans="1:1" x14ac:dyDescent="0.25">
      <c r="A704551" s="15" t="s">
        <v>190</v>
      </c>
    </row>
    <row r="704552" spans="1:1" x14ac:dyDescent="0.25">
      <c r="A704552" s="15" t="s">
        <v>191</v>
      </c>
    </row>
    <row r="704553" spans="1:1" x14ac:dyDescent="0.25">
      <c r="A704553" s="14" t="s">
        <v>47</v>
      </c>
    </row>
    <row r="704554" spans="1:1" x14ac:dyDescent="0.25">
      <c r="A704554" s="14" t="s">
        <v>119</v>
      </c>
    </row>
    <row r="704555" spans="1:1" x14ac:dyDescent="0.25">
      <c r="A704555" s="14" t="s">
        <v>86</v>
      </c>
    </row>
    <row r="704556" spans="1:1" x14ac:dyDescent="0.25">
      <c r="A704556" s="13" t="s">
        <v>21</v>
      </c>
    </row>
    <row r="704557" spans="1:1" x14ac:dyDescent="0.25">
      <c r="A704557" s="14" t="s">
        <v>92</v>
      </c>
    </row>
    <row r="704558" spans="1:1" x14ac:dyDescent="0.25">
      <c r="A704558" s="14" t="s">
        <v>93</v>
      </c>
    </row>
    <row r="704559" spans="1:1" x14ac:dyDescent="0.25">
      <c r="A704559" s="14" t="s">
        <v>99</v>
      </c>
    </row>
    <row r="704560" spans="1:1" x14ac:dyDescent="0.25">
      <c r="A704560" s="14" t="s">
        <v>100</v>
      </c>
    </row>
    <row r="704561" spans="1:1" x14ac:dyDescent="0.25">
      <c r="A704561" s="13" t="s">
        <v>24</v>
      </c>
    </row>
    <row r="704562" spans="1:1" x14ac:dyDescent="0.25">
      <c r="A704562" s="13" t="s">
        <v>83</v>
      </c>
    </row>
    <row r="704563" spans="1:1" x14ac:dyDescent="0.25">
      <c r="A704563" s="13" t="s">
        <v>106</v>
      </c>
    </row>
    <row r="704564" spans="1:1" x14ac:dyDescent="0.25">
      <c r="A704564" s="13" t="s">
        <v>101</v>
      </c>
    </row>
    <row r="704565" spans="1:1" x14ac:dyDescent="0.25">
      <c r="A704565" s="13" t="s">
        <v>102</v>
      </c>
    </row>
    <row r="704566" spans="1:1" x14ac:dyDescent="0.25">
      <c r="A704566" s="13" t="s">
        <v>103</v>
      </c>
    </row>
    <row r="704567" spans="1:1" x14ac:dyDescent="0.25">
      <c r="A704567" s="13" t="s">
        <v>104</v>
      </c>
    </row>
    <row r="704568" spans="1:1" x14ac:dyDescent="0.25">
      <c r="A704568" s="13" t="s">
        <v>105</v>
      </c>
    </row>
    <row r="720898" spans="1:1" x14ac:dyDescent="0.25">
      <c r="A720898" s="13" t="s">
        <v>0</v>
      </c>
    </row>
    <row r="720899" spans="1:1" x14ac:dyDescent="0.25">
      <c r="A720899" s="13" t="s">
        <v>125</v>
      </c>
    </row>
    <row r="720900" spans="1:1" x14ac:dyDescent="0.25">
      <c r="A720900" s="13" t="s">
        <v>1</v>
      </c>
    </row>
    <row r="720901" spans="1:1" x14ac:dyDescent="0.25">
      <c r="A720901" s="13" t="s">
        <v>2</v>
      </c>
    </row>
    <row r="720902" spans="1:1" x14ac:dyDescent="0.25">
      <c r="A720902" s="14" t="s">
        <v>25</v>
      </c>
    </row>
    <row r="720903" spans="1:1" x14ac:dyDescent="0.25">
      <c r="A720903" s="13" t="s">
        <v>126</v>
      </c>
    </row>
    <row r="720904" spans="1:1" x14ac:dyDescent="0.25">
      <c r="A720904" s="13" t="s">
        <v>127</v>
      </c>
    </row>
    <row r="720905" spans="1:1" x14ac:dyDescent="0.25">
      <c r="A720905" s="13" t="s">
        <v>88</v>
      </c>
    </row>
    <row r="720906" spans="1:1" x14ac:dyDescent="0.25">
      <c r="A720906" s="13" t="s">
        <v>22</v>
      </c>
    </row>
    <row r="720907" spans="1:1" x14ac:dyDescent="0.25">
      <c r="A720907" s="13" t="s">
        <v>3</v>
      </c>
    </row>
    <row r="720908" spans="1:1" x14ac:dyDescent="0.25">
      <c r="A720908" s="15" t="s">
        <v>95</v>
      </c>
    </row>
    <row r="720909" spans="1:1" x14ac:dyDescent="0.25">
      <c r="A720909" s="15" t="s">
        <v>94</v>
      </c>
    </row>
    <row r="720910" spans="1:1" x14ac:dyDescent="0.25">
      <c r="A720910" s="15" t="s">
        <v>4</v>
      </c>
    </row>
    <row r="720911" spans="1:1" x14ac:dyDescent="0.25">
      <c r="A720911" s="15" t="s">
        <v>118</v>
      </c>
    </row>
    <row r="720912" spans="1:1" x14ac:dyDescent="0.25">
      <c r="A720912" s="15" t="s">
        <v>5</v>
      </c>
    </row>
    <row r="720913" spans="1:1" x14ac:dyDescent="0.25">
      <c r="A720913" s="15" t="s">
        <v>6</v>
      </c>
    </row>
    <row r="720914" spans="1:1" x14ac:dyDescent="0.25">
      <c r="A720914" s="15" t="s">
        <v>7</v>
      </c>
    </row>
    <row r="720915" spans="1:1" x14ac:dyDescent="0.25">
      <c r="A720915" s="15" t="s">
        <v>8</v>
      </c>
    </row>
    <row r="720916" spans="1:1" x14ac:dyDescent="0.25">
      <c r="A720916" s="15" t="s">
        <v>9</v>
      </c>
    </row>
    <row r="720917" spans="1:1" x14ac:dyDescent="0.25">
      <c r="A720917" s="15" t="s">
        <v>10</v>
      </c>
    </row>
    <row r="720918" spans="1:1" x14ac:dyDescent="0.25">
      <c r="A720918" s="15" t="s">
        <v>11</v>
      </c>
    </row>
    <row r="720919" spans="1:1" x14ac:dyDescent="0.25">
      <c r="A720919" s="15" t="s">
        <v>12</v>
      </c>
    </row>
    <row r="720920" spans="1:1" x14ac:dyDescent="0.25">
      <c r="A720920" s="15" t="s">
        <v>13</v>
      </c>
    </row>
    <row r="720921" spans="1:1" x14ac:dyDescent="0.25">
      <c r="A720921" s="15" t="s">
        <v>14</v>
      </c>
    </row>
    <row r="720922" spans="1:1" x14ac:dyDescent="0.25">
      <c r="A720922" s="13" t="s">
        <v>31</v>
      </c>
    </row>
    <row r="720923" spans="1:1" x14ac:dyDescent="0.25">
      <c r="A720923" s="13" t="s">
        <v>87</v>
      </c>
    </row>
    <row r="720924" spans="1:1" x14ac:dyDescent="0.25">
      <c r="A720924" s="15" t="s">
        <v>30</v>
      </c>
    </row>
    <row r="720925" spans="1:1" x14ac:dyDescent="0.25">
      <c r="A720925" s="15" t="s">
        <v>26</v>
      </c>
    </row>
    <row r="720926" spans="1:1" x14ac:dyDescent="0.25">
      <c r="A720926" s="15" t="s">
        <v>27</v>
      </c>
    </row>
    <row r="720927" spans="1:1" x14ac:dyDescent="0.25">
      <c r="A720927" s="15" t="s">
        <v>28</v>
      </c>
    </row>
    <row r="720928" spans="1:1" x14ac:dyDescent="0.25">
      <c r="A720928" s="15" t="s">
        <v>89</v>
      </c>
    </row>
    <row r="720929" spans="1:1" x14ac:dyDescent="0.25">
      <c r="A720929" s="15" t="s">
        <v>90</v>
      </c>
    </row>
    <row r="720930" spans="1:1" x14ac:dyDescent="0.25">
      <c r="A720930" s="15" t="s">
        <v>185</v>
      </c>
    </row>
    <row r="720931" spans="1:1" x14ac:dyDescent="0.25">
      <c r="A720931" s="15" t="s">
        <v>186</v>
      </c>
    </row>
    <row r="720932" spans="1:1" x14ac:dyDescent="0.25">
      <c r="A720932" s="15" t="s">
        <v>187</v>
      </c>
    </row>
    <row r="720933" spans="1:1" x14ac:dyDescent="0.25">
      <c r="A720933" s="15" t="s">
        <v>188</v>
      </c>
    </row>
    <row r="720934" spans="1:1" x14ac:dyDescent="0.25">
      <c r="A720934" s="15" t="s">
        <v>189</v>
      </c>
    </row>
    <row r="720935" spans="1:1" x14ac:dyDescent="0.25">
      <c r="A720935" s="15" t="s">
        <v>190</v>
      </c>
    </row>
    <row r="720936" spans="1:1" x14ac:dyDescent="0.25">
      <c r="A720936" s="15" t="s">
        <v>191</v>
      </c>
    </row>
    <row r="720937" spans="1:1" x14ac:dyDescent="0.25">
      <c r="A720937" s="14" t="s">
        <v>47</v>
      </c>
    </row>
    <row r="720938" spans="1:1" x14ac:dyDescent="0.25">
      <c r="A720938" s="14" t="s">
        <v>119</v>
      </c>
    </row>
    <row r="720939" spans="1:1" x14ac:dyDescent="0.25">
      <c r="A720939" s="14" t="s">
        <v>86</v>
      </c>
    </row>
    <row r="720940" spans="1:1" x14ac:dyDescent="0.25">
      <c r="A720940" s="13" t="s">
        <v>21</v>
      </c>
    </row>
    <row r="720941" spans="1:1" x14ac:dyDescent="0.25">
      <c r="A720941" s="14" t="s">
        <v>92</v>
      </c>
    </row>
    <row r="720942" spans="1:1" x14ac:dyDescent="0.25">
      <c r="A720942" s="14" t="s">
        <v>93</v>
      </c>
    </row>
    <row r="720943" spans="1:1" x14ac:dyDescent="0.25">
      <c r="A720943" s="14" t="s">
        <v>99</v>
      </c>
    </row>
    <row r="720944" spans="1:1" x14ac:dyDescent="0.25">
      <c r="A720944" s="14" t="s">
        <v>100</v>
      </c>
    </row>
    <row r="720945" spans="1:1" x14ac:dyDescent="0.25">
      <c r="A720945" s="13" t="s">
        <v>24</v>
      </c>
    </row>
    <row r="720946" spans="1:1" x14ac:dyDescent="0.25">
      <c r="A720946" s="13" t="s">
        <v>83</v>
      </c>
    </row>
    <row r="720947" spans="1:1" x14ac:dyDescent="0.25">
      <c r="A720947" s="13" t="s">
        <v>106</v>
      </c>
    </row>
    <row r="720948" spans="1:1" x14ac:dyDescent="0.25">
      <c r="A720948" s="13" t="s">
        <v>101</v>
      </c>
    </row>
    <row r="720949" spans="1:1" x14ac:dyDescent="0.25">
      <c r="A720949" s="13" t="s">
        <v>102</v>
      </c>
    </row>
    <row r="720950" spans="1:1" x14ac:dyDescent="0.25">
      <c r="A720950" s="13" t="s">
        <v>103</v>
      </c>
    </row>
    <row r="720951" spans="1:1" x14ac:dyDescent="0.25">
      <c r="A720951" s="13" t="s">
        <v>104</v>
      </c>
    </row>
    <row r="720952" spans="1:1" x14ac:dyDescent="0.25">
      <c r="A720952" s="13" t="s">
        <v>105</v>
      </c>
    </row>
    <row r="737282" spans="1:1" x14ac:dyDescent="0.25">
      <c r="A737282" s="13" t="s">
        <v>0</v>
      </c>
    </row>
    <row r="737283" spans="1:1" x14ac:dyDescent="0.25">
      <c r="A737283" s="13" t="s">
        <v>125</v>
      </c>
    </row>
    <row r="737284" spans="1:1" x14ac:dyDescent="0.25">
      <c r="A737284" s="13" t="s">
        <v>1</v>
      </c>
    </row>
    <row r="737285" spans="1:1" x14ac:dyDescent="0.25">
      <c r="A737285" s="13" t="s">
        <v>2</v>
      </c>
    </row>
    <row r="737286" spans="1:1" x14ac:dyDescent="0.25">
      <c r="A737286" s="14" t="s">
        <v>25</v>
      </c>
    </row>
    <row r="737287" spans="1:1" x14ac:dyDescent="0.25">
      <c r="A737287" s="13" t="s">
        <v>126</v>
      </c>
    </row>
    <row r="737288" spans="1:1" x14ac:dyDescent="0.25">
      <c r="A737288" s="13" t="s">
        <v>127</v>
      </c>
    </row>
    <row r="737289" spans="1:1" x14ac:dyDescent="0.25">
      <c r="A737289" s="13" t="s">
        <v>88</v>
      </c>
    </row>
    <row r="737290" spans="1:1" x14ac:dyDescent="0.25">
      <c r="A737290" s="13" t="s">
        <v>22</v>
      </c>
    </row>
    <row r="737291" spans="1:1" x14ac:dyDescent="0.25">
      <c r="A737291" s="13" t="s">
        <v>3</v>
      </c>
    </row>
    <row r="737292" spans="1:1" x14ac:dyDescent="0.25">
      <c r="A737292" s="15" t="s">
        <v>95</v>
      </c>
    </row>
    <row r="737293" spans="1:1" x14ac:dyDescent="0.25">
      <c r="A737293" s="15" t="s">
        <v>94</v>
      </c>
    </row>
    <row r="737294" spans="1:1" x14ac:dyDescent="0.25">
      <c r="A737294" s="15" t="s">
        <v>4</v>
      </c>
    </row>
    <row r="737295" spans="1:1" x14ac:dyDescent="0.25">
      <c r="A737295" s="15" t="s">
        <v>118</v>
      </c>
    </row>
    <row r="737296" spans="1:1" x14ac:dyDescent="0.25">
      <c r="A737296" s="15" t="s">
        <v>5</v>
      </c>
    </row>
    <row r="737297" spans="1:1" x14ac:dyDescent="0.25">
      <c r="A737297" s="15" t="s">
        <v>6</v>
      </c>
    </row>
    <row r="737298" spans="1:1" x14ac:dyDescent="0.25">
      <c r="A737298" s="15" t="s">
        <v>7</v>
      </c>
    </row>
    <row r="737299" spans="1:1" x14ac:dyDescent="0.25">
      <c r="A737299" s="15" t="s">
        <v>8</v>
      </c>
    </row>
    <row r="737300" spans="1:1" x14ac:dyDescent="0.25">
      <c r="A737300" s="15" t="s">
        <v>9</v>
      </c>
    </row>
    <row r="737301" spans="1:1" x14ac:dyDescent="0.25">
      <c r="A737301" s="15" t="s">
        <v>10</v>
      </c>
    </row>
    <row r="737302" spans="1:1" x14ac:dyDescent="0.25">
      <c r="A737302" s="15" t="s">
        <v>11</v>
      </c>
    </row>
    <row r="737303" spans="1:1" x14ac:dyDescent="0.25">
      <c r="A737303" s="15" t="s">
        <v>12</v>
      </c>
    </row>
    <row r="737304" spans="1:1" x14ac:dyDescent="0.25">
      <c r="A737304" s="15" t="s">
        <v>13</v>
      </c>
    </row>
    <row r="737305" spans="1:1" x14ac:dyDescent="0.25">
      <c r="A737305" s="15" t="s">
        <v>14</v>
      </c>
    </row>
    <row r="737306" spans="1:1" x14ac:dyDescent="0.25">
      <c r="A737306" s="13" t="s">
        <v>31</v>
      </c>
    </row>
    <row r="737307" spans="1:1" x14ac:dyDescent="0.25">
      <c r="A737307" s="13" t="s">
        <v>87</v>
      </c>
    </row>
    <row r="737308" spans="1:1" x14ac:dyDescent="0.25">
      <c r="A737308" s="15" t="s">
        <v>30</v>
      </c>
    </row>
    <row r="737309" spans="1:1" x14ac:dyDescent="0.25">
      <c r="A737309" s="15" t="s">
        <v>26</v>
      </c>
    </row>
    <row r="737310" spans="1:1" x14ac:dyDescent="0.25">
      <c r="A737310" s="15" t="s">
        <v>27</v>
      </c>
    </row>
    <row r="737311" spans="1:1" x14ac:dyDescent="0.25">
      <c r="A737311" s="15" t="s">
        <v>28</v>
      </c>
    </row>
    <row r="737312" spans="1:1" x14ac:dyDescent="0.25">
      <c r="A737312" s="15" t="s">
        <v>89</v>
      </c>
    </row>
    <row r="737313" spans="1:1" x14ac:dyDescent="0.25">
      <c r="A737313" s="15" t="s">
        <v>90</v>
      </c>
    </row>
    <row r="737314" spans="1:1" x14ac:dyDescent="0.25">
      <c r="A737314" s="15" t="s">
        <v>185</v>
      </c>
    </row>
    <row r="737315" spans="1:1" x14ac:dyDescent="0.25">
      <c r="A737315" s="15" t="s">
        <v>186</v>
      </c>
    </row>
    <row r="737316" spans="1:1" x14ac:dyDescent="0.25">
      <c r="A737316" s="15" t="s">
        <v>187</v>
      </c>
    </row>
    <row r="737317" spans="1:1" x14ac:dyDescent="0.25">
      <c r="A737317" s="15" t="s">
        <v>188</v>
      </c>
    </row>
    <row r="737318" spans="1:1" x14ac:dyDescent="0.25">
      <c r="A737318" s="15" t="s">
        <v>189</v>
      </c>
    </row>
    <row r="737319" spans="1:1" x14ac:dyDescent="0.25">
      <c r="A737319" s="15" t="s">
        <v>190</v>
      </c>
    </row>
    <row r="737320" spans="1:1" x14ac:dyDescent="0.25">
      <c r="A737320" s="15" t="s">
        <v>191</v>
      </c>
    </row>
    <row r="737321" spans="1:1" x14ac:dyDescent="0.25">
      <c r="A737321" s="14" t="s">
        <v>47</v>
      </c>
    </row>
    <row r="737322" spans="1:1" x14ac:dyDescent="0.25">
      <c r="A737322" s="14" t="s">
        <v>119</v>
      </c>
    </row>
    <row r="737323" spans="1:1" x14ac:dyDescent="0.25">
      <c r="A737323" s="14" t="s">
        <v>86</v>
      </c>
    </row>
    <row r="737324" spans="1:1" x14ac:dyDescent="0.25">
      <c r="A737324" s="13" t="s">
        <v>21</v>
      </c>
    </row>
    <row r="737325" spans="1:1" x14ac:dyDescent="0.25">
      <c r="A737325" s="14" t="s">
        <v>92</v>
      </c>
    </row>
    <row r="737326" spans="1:1" x14ac:dyDescent="0.25">
      <c r="A737326" s="14" t="s">
        <v>93</v>
      </c>
    </row>
    <row r="737327" spans="1:1" x14ac:dyDescent="0.25">
      <c r="A737327" s="14" t="s">
        <v>99</v>
      </c>
    </row>
    <row r="737328" spans="1:1" x14ac:dyDescent="0.25">
      <c r="A737328" s="14" t="s">
        <v>100</v>
      </c>
    </row>
    <row r="737329" spans="1:1" x14ac:dyDescent="0.25">
      <c r="A737329" s="13" t="s">
        <v>24</v>
      </c>
    </row>
    <row r="737330" spans="1:1" x14ac:dyDescent="0.25">
      <c r="A737330" s="13" t="s">
        <v>83</v>
      </c>
    </row>
    <row r="737331" spans="1:1" x14ac:dyDescent="0.25">
      <c r="A737331" s="13" t="s">
        <v>106</v>
      </c>
    </row>
    <row r="737332" spans="1:1" x14ac:dyDescent="0.25">
      <c r="A737332" s="13" t="s">
        <v>101</v>
      </c>
    </row>
    <row r="737333" spans="1:1" x14ac:dyDescent="0.25">
      <c r="A737333" s="13" t="s">
        <v>102</v>
      </c>
    </row>
    <row r="737334" spans="1:1" x14ac:dyDescent="0.25">
      <c r="A737334" s="13" t="s">
        <v>103</v>
      </c>
    </row>
    <row r="737335" spans="1:1" x14ac:dyDescent="0.25">
      <c r="A737335" s="13" t="s">
        <v>104</v>
      </c>
    </row>
    <row r="737336" spans="1:1" x14ac:dyDescent="0.25">
      <c r="A737336" s="13" t="s">
        <v>105</v>
      </c>
    </row>
    <row r="753666" spans="1:1" x14ac:dyDescent="0.25">
      <c r="A753666" s="13" t="s">
        <v>0</v>
      </c>
    </row>
    <row r="753667" spans="1:1" x14ac:dyDescent="0.25">
      <c r="A753667" s="13" t="s">
        <v>125</v>
      </c>
    </row>
    <row r="753668" spans="1:1" x14ac:dyDescent="0.25">
      <c r="A753668" s="13" t="s">
        <v>1</v>
      </c>
    </row>
    <row r="753669" spans="1:1" x14ac:dyDescent="0.25">
      <c r="A753669" s="13" t="s">
        <v>2</v>
      </c>
    </row>
    <row r="753670" spans="1:1" x14ac:dyDescent="0.25">
      <c r="A753670" s="14" t="s">
        <v>25</v>
      </c>
    </row>
    <row r="753671" spans="1:1" x14ac:dyDescent="0.25">
      <c r="A753671" s="13" t="s">
        <v>126</v>
      </c>
    </row>
    <row r="753672" spans="1:1" x14ac:dyDescent="0.25">
      <c r="A753672" s="13" t="s">
        <v>127</v>
      </c>
    </row>
    <row r="753673" spans="1:1" x14ac:dyDescent="0.25">
      <c r="A753673" s="13" t="s">
        <v>88</v>
      </c>
    </row>
    <row r="753674" spans="1:1" x14ac:dyDescent="0.25">
      <c r="A753674" s="13" t="s">
        <v>22</v>
      </c>
    </row>
    <row r="753675" spans="1:1" x14ac:dyDescent="0.25">
      <c r="A753675" s="13" t="s">
        <v>3</v>
      </c>
    </row>
    <row r="753676" spans="1:1" x14ac:dyDescent="0.25">
      <c r="A753676" s="15" t="s">
        <v>95</v>
      </c>
    </row>
    <row r="753677" spans="1:1" x14ac:dyDescent="0.25">
      <c r="A753677" s="15" t="s">
        <v>94</v>
      </c>
    </row>
    <row r="753678" spans="1:1" x14ac:dyDescent="0.25">
      <c r="A753678" s="15" t="s">
        <v>4</v>
      </c>
    </row>
    <row r="753679" spans="1:1" x14ac:dyDescent="0.25">
      <c r="A753679" s="15" t="s">
        <v>118</v>
      </c>
    </row>
    <row r="753680" spans="1:1" x14ac:dyDescent="0.25">
      <c r="A753680" s="15" t="s">
        <v>5</v>
      </c>
    </row>
    <row r="753681" spans="1:1" x14ac:dyDescent="0.25">
      <c r="A753681" s="15" t="s">
        <v>6</v>
      </c>
    </row>
    <row r="753682" spans="1:1" x14ac:dyDescent="0.25">
      <c r="A753682" s="15" t="s">
        <v>7</v>
      </c>
    </row>
    <row r="753683" spans="1:1" x14ac:dyDescent="0.25">
      <c r="A753683" s="15" t="s">
        <v>8</v>
      </c>
    </row>
    <row r="753684" spans="1:1" x14ac:dyDescent="0.25">
      <c r="A753684" s="15" t="s">
        <v>9</v>
      </c>
    </row>
    <row r="753685" spans="1:1" x14ac:dyDescent="0.25">
      <c r="A753685" s="15" t="s">
        <v>10</v>
      </c>
    </row>
    <row r="753686" spans="1:1" x14ac:dyDescent="0.25">
      <c r="A753686" s="15" t="s">
        <v>11</v>
      </c>
    </row>
    <row r="753687" spans="1:1" x14ac:dyDescent="0.25">
      <c r="A753687" s="15" t="s">
        <v>12</v>
      </c>
    </row>
    <row r="753688" spans="1:1" x14ac:dyDescent="0.25">
      <c r="A753688" s="15" t="s">
        <v>13</v>
      </c>
    </row>
    <row r="753689" spans="1:1" x14ac:dyDescent="0.25">
      <c r="A753689" s="15" t="s">
        <v>14</v>
      </c>
    </row>
    <row r="753690" spans="1:1" x14ac:dyDescent="0.25">
      <c r="A753690" s="13" t="s">
        <v>31</v>
      </c>
    </row>
    <row r="753691" spans="1:1" x14ac:dyDescent="0.25">
      <c r="A753691" s="13" t="s">
        <v>87</v>
      </c>
    </row>
    <row r="753692" spans="1:1" x14ac:dyDescent="0.25">
      <c r="A753692" s="15" t="s">
        <v>30</v>
      </c>
    </row>
    <row r="753693" spans="1:1" x14ac:dyDescent="0.25">
      <c r="A753693" s="15" t="s">
        <v>26</v>
      </c>
    </row>
    <row r="753694" spans="1:1" x14ac:dyDescent="0.25">
      <c r="A753694" s="15" t="s">
        <v>27</v>
      </c>
    </row>
    <row r="753695" spans="1:1" x14ac:dyDescent="0.25">
      <c r="A753695" s="15" t="s">
        <v>28</v>
      </c>
    </row>
    <row r="753696" spans="1:1" x14ac:dyDescent="0.25">
      <c r="A753696" s="15" t="s">
        <v>89</v>
      </c>
    </row>
    <row r="753697" spans="1:1" x14ac:dyDescent="0.25">
      <c r="A753697" s="15" t="s">
        <v>90</v>
      </c>
    </row>
    <row r="753698" spans="1:1" x14ac:dyDescent="0.25">
      <c r="A753698" s="15" t="s">
        <v>185</v>
      </c>
    </row>
    <row r="753699" spans="1:1" x14ac:dyDescent="0.25">
      <c r="A753699" s="15" t="s">
        <v>186</v>
      </c>
    </row>
    <row r="753700" spans="1:1" x14ac:dyDescent="0.25">
      <c r="A753700" s="15" t="s">
        <v>187</v>
      </c>
    </row>
    <row r="753701" spans="1:1" x14ac:dyDescent="0.25">
      <c r="A753701" s="15" t="s">
        <v>188</v>
      </c>
    </row>
    <row r="753702" spans="1:1" x14ac:dyDescent="0.25">
      <c r="A753702" s="15" t="s">
        <v>189</v>
      </c>
    </row>
    <row r="753703" spans="1:1" x14ac:dyDescent="0.25">
      <c r="A753703" s="15" t="s">
        <v>190</v>
      </c>
    </row>
    <row r="753704" spans="1:1" x14ac:dyDescent="0.25">
      <c r="A753704" s="15" t="s">
        <v>191</v>
      </c>
    </row>
    <row r="753705" spans="1:1" x14ac:dyDescent="0.25">
      <c r="A753705" s="14" t="s">
        <v>47</v>
      </c>
    </row>
    <row r="753706" spans="1:1" x14ac:dyDescent="0.25">
      <c r="A753706" s="14" t="s">
        <v>119</v>
      </c>
    </row>
    <row r="753707" spans="1:1" x14ac:dyDescent="0.25">
      <c r="A753707" s="14" t="s">
        <v>86</v>
      </c>
    </row>
    <row r="753708" spans="1:1" x14ac:dyDescent="0.25">
      <c r="A753708" s="13" t="s">
        <v>21</v>
      </c>
    </row>
    <row r="753709" spans="1:1" x14ac:dyDescent="0.25">
      <c r="A753709" s="14" t="s">
        <v>92</v>
      </c>
    </row>
    <row r="753710" spans="1:1" x14ac:dyDescent="0.25">
      <c r="A753710" s="14" t="s">
        <v>93</v>
      </c>
    </row>
    <row r="753711" spans="1:1" x14ac:dyDescent="0.25">
      <c r="A753711" s="14" t="s">
        <v>99</v>
      </c>
    </row>
    <row r="753712" spans="1:1" x14ac:dyDescent="0.25">
      <c r="A753712" s="14" t="s">
        <v>100</v>
      </c>
    </row>
    <row r="753713" spans="1:1" x14ac:dyDescent="0.25">
      <c r="A753713" s="13" t="s">
        <v>24</v>
      </c>
    </row>
    <row r="753714" spans="1:1" x14ac:dyDescent="0.25">
      <c r="A753714" s="13" t="s">
        <v>83</v>
      </c>
    </row>
    <row r="753715" spans="1:1" x14ac:dyDescent="0.25">
      <c r="A753715" s="13" t="s">
        <v>106</v>
      </c>
    </row>
    <row r="753716" spans="1:1" x14ac:dyDescent="0.25">
      <c r="A753716" s="13" t="s">
        <v>101</v>
      </c>
    </row>
    <row r="753717" spans="1:1" x14ac:dyDescent="0.25">
      <c r="A753717" s="13" t="s">
        <v>102</v>
      </c>
    </row>
    <row r="753718" spans="1:1" x14ac:dyDescent="0.25">
      <c r="A753718" s="13" t="s">
        <v>103</v>
      </c>
    </row>
    <row r="753719" spans="1:1" x14ac:dyDescent="0.25">
      <c r="A753719" s="13" t="s">
        <v>104</v>
      </c>
    </row>
    <row r="753720" spans="1:1" x14ac:dyDescent="0.25">
      <c r="A753720" s="13" t="s">
        <v>105</v>
      </c>
    </row>
    <row r="770050" spans="1:1" x14ac:dyDescent="0.25">
      <c r="A770050" s="13" t="s">
        <v>0</v>
      </c>
    </row>
    <row r="770051" spans="1:1" x14ac:dyDescent="0.25">
      <c r="A770051" s="13" t="s">
        <v>125</v>
      </c>
    </row>
    <row r="770052" spans="1:1" x14ac:dyDescent="0.25">
      <c r="A770052" s="13" t="s">
        <v>1</v>
      </c>
    </row>
    <row r="770053" spans="1:1" x14ac:dyDescent="0.25">
      <c r="A770053" s="13" t="s">
        <v>2</v>
      </c>
    </row>
    <row r="770054" spans="1:1" x14ac:dyDescent="0.25">
      <c r="A770054" s="14" t="s">
        <v>25</v>
      </c>
    </row>
    <row r="770055" spans="1:1" x14ac:dyDescent="0.25">
      <c r="A770055" s="13" t="s">
        <v>126</v>
      </c>
    </row>
    <row r="770056" spans="1:1" x14ac:dyDescent="0.25">
      <c r="A770056" s="13" t="s">
        <v>127</v>
      </c>
    </row>
    <row r="770057" spans="1:1" x14ac:dyDescent="0.25">
      <c r="A770057" s="13" t="s">
        <v>88</v>
      </c>
    </row>
    <row r="770058" spans="1:1" x14ac:dyDescent="0.25">
      <c r="A770058" s="13" t="s">
        <v>22</v>
      </c>
    </row>
    <row r="770059" spans="1:1" x14ac:dyDescent="0.25">
      <c r="A770059" s="13" t="s">
        <v>3</v>
      </c>
    </row>
    <row r="770060" spans="1:1" x14ac:dyDescent="0.25">
      <c r="A770060" s="15" t="s">
        <v>95</v>
      </c>
    </row>
    <row r="770061" spans="1:1" x14ac:dyDescent="0.25">
      <c r="A770061" s="15" t="s">
        <v>94</v>
      </c>
    </row>
    <row r="770062" spans="1:1" x14ac:dyDescent="0.25">
      <c r="A770062" s="15" t="s">
        <v>4</v>
      </c>
    </row>
    <row r="770063" spans="1:1" x14ac:dyDescent="0.25">
      <c r="A770063" s="15" t="s">
        <v>118</v>
      </c>
    </row>
    <row r="770064" spans="1:1" x14ac:dyDescent="0.25">
      <c r="A770064" s="15" t="s">
        <v>5</v>
      </c>
    </row>
    <row r="770065" spans="1:1" x14ac:dyDescent="0.25">
      <c r="A770065" s="15" t="s">
        <v>6</v>
      </c>
    </row>
    <row r="770066" spans="1:1" x14ac:dyDescent="0.25">
      <c r="A770066" s="15" t="s">
        <v>7</v>
      </c>
    </row>
    <row r="770067" spans="1:1" x14ac:dyDescent="0.25">
      <c r="A770067" s="15" t="s">
        <v>8</v>
      </c>
    </row>
    <row r="770068" spans="1:1" x14ac:dyDescent="0.25">
      <c r="A770068" s="15" t="s">
        <v>9</v>
      </c>
    </row>
    <row r="770069" spans="1:1" x14ac:dyDescent="0.25">
      <c r="A770069" s="15" t="s">
        <v>10</v>
      </c>
    </row>
    <row r="770070" spans="1:1" x14ac:dyDescent="0.25">
      <c r="A770070" s="15" t="s">
        <v>11</v>
      </c>
    </row>
    <row r="770071" spans="1:1" x14ac:dyDescent="0.25">
      <c r="A770071" s="15" t="s">
        <v>12</v>
      </c>
    </row>
    <row r="770072" spans="1:1" x14ac:dyDescent="0.25">
      <c r="A770072" s="15" t="s">
        <v>13</v>
      </c>
    </row>
    <row r="770073" spans="1:1" x14ac:dyDescent="0.25">
      <c r="A770073" s="15" t="s">
        <v>14</v>
      </c>
    </row>
    <row r="770074" spans="1:1" x14ac:dyDescent="0.25">
      <c r="A770074" s="13" t="s">
        <v>31</v>
      </c>
    </row>
    <row r="770075" spans="1:1" x14ac:dyDescent="0.25">
      <c r="A770075" s="13" t="s">
        <v>87</v>
      </c>
    </row>
    <row r="770076" spans="1:1" x14ac:dyDescent="0.25">
      <c r="A770076" s="15" t="s">
        <v>30</v>
      </c>
    </row>
    <row r="770077" spans="1:1" x14ac:dyDescent="0.25">
      <c r="A770077" s="15" t="s">
        <v>26</v>
      </c>
    </row>
    <row r="770078" spans="1:1" x14ac:dyDescent="0.25">
      <c r="A770078" s="15" t="s">
        <v>27</v>
      </c>
    </row>
    <row r="770079" spans="1:1" x14ac:dyDescent="0.25">
      <c r="A770079" s="15" t="s">
        <v>28</v>
      </c>
    </row>
    <row r="770080" spans="1:1" x14ac:dyDescent="0.25">
      <c r="A770080" s="15" t="s">
        <v>89</v>
      </c>
    </row>
    <row r="770081" spans="1:1" x14ac:dyDescent="0.25">
      <c r="A770081" s="15" t="s">
        <v>90</v>
      </c>
    </row>
    <row r="770082" spans="1:1" x14ac:dyDescent="0.25">
      <c r="A770082" s="15" t="s">
        <v>185</v>
      </c>
    </row>
    <row r="770083" spans="1:1" x14ac:dyDescent="0.25">
      <c r="A770083" s="15" t="s">
        <v>186</v>
      </c>
    </row>
    <row r="770084" spans="1:1" x14ac:dyDescent="0.25">
      <c r="A770084" s="15" t="s">
        <v>187</v>
      </c>
    </row>
    <row r="770085" spans="1:1" x14ac:dyDescent="0.25">
      <c r="A770085" s="15" t="s">
        <v>188</v>
      </c>
    </row>
    <row r="770086" spans="1:1" x14ac:dyDescent="0.25">
      <c r="A770086" s="15" t="s">
        <v>189</v>
      </c>
    </row>
    <row r="770087" spans="1:1" x14ac:dyDescent="0.25">
      <c r="A770087" s="15" t="s">
        <v>190</v>
      </c>
    </row>
    <row r="770088" spans="1:1" x14ac:dyDescent="0.25">
      <c r="A770088" s="15" t="s">
        <v>191</v>
      </c>
    </row>
    <row r="770089" spans="1:1" x14ac:dyDescent="0.25">
      <c r="A770089" s="14" t="s">
        <v>47</v>
      </c>
    </row>
    <row r="770090" spans="1:1" x14ac:dyDescent="0.25">
      <c r="A770090" s="14" t="s">
        <v>119</v>
      </c>
    </row>
    <row r="770091" spans="1:1" x14ac:dyDescent="0.25">
      <c r="A770091" s="14" t="s">
        <v>86</v>
      </c>
    </row>
    <row r="770092" spans="1:1" x14ac:dyDescent="0.25">
      <c r="A770092" s="13" t="s">
        <v>21</v>
      </c>
    </row>
    <row r="770093" spans="1:1" x14ac:dyDescent="0.25">
      <c r="A770093" s="14" t="s">
        <v>92</v>
      </c>
    </row>
    <row r="770094" spans="1:1" x14ac:dyDescent="0.25">
      <c r="A770094" s="14" t="s">
        <v>93</v>
      </c>
    </row>
    <row r="770095" spans="1:1" x14ac:dyDescent="0.25">
      <c r="A770095" s="14" t="s">
        <v>99</v>
      </c>
    </row>
    <row r="770096" spans="1:1" x14ac:dyDescent="0.25">
      <c r="A770096" s="14" t="s">
        <v>100</v>
      </c>
    </row>
    <row r="770097" spans="1:1" x14ac:dyDescent="0.25">
      <c r="A770097" s="13" t="s">
        <v>24</v>
      </c>
    </row>
    <row r="770098" spans="1:1" x14ac:dyDescent="0.25">
      <c r="A770098" s="13" t="s">
        <v>83</v>
      </c>
    </row>
    <row r="770099" spans="1:1" x14ac:dyDescent="0.25">
      <c r="A770099" s="13" t="s">
        <v>106</v>
      </c>
    </row>
    <row r="770100" spans="1:1" x14ac:dyDescent="0.25">
      <c r="A770100" s="13" t="s">
        <v>101</v>
      </c>
    </row>
    <row r="770101" spans="1:1" x14ac:dyDescent="0.25">
      <c r="A770101" s="13" t="s">
        <v>102</v>
      </c>
    </row>
    <row r="770102" spans="1:1" x14ac:dyDescent="0.25">
      <c r="A770102" s="13" t="s">
        <v>103</v>
      </c>
    </row>
    <row r="770103" spans="1:1" x14ac:dyDescent="0.25">
      <c r="A770103" s="13" t="s">
        <v>104</v>
      </c>
    </row>
    <row r="770104" spans="1:1" x14ac:dyDescent="0.25">
      <c r="A770104" s="13" t="s">
        <v>105</v>
      </c>
    </row>
    <row r="786434" spans="1:1" x14ac:dyDescent="0.25">
      <c r="A786434" s="13" t="s">
        <v>0</v>
      </c>
    </row>
    <row r="786435" spans="1:1" x14ac:dyDescent="0.25">
      <c r="A786435" s="13" t="s">
        <v>125</v>
      </c>
    </row>
    <row r="786436" spans="1:1" x14ac:dyDescent="0.25">
      <c r="A786436" s="13" t="s">
        <v>1</v>
      </c>
    </row>
    <row r="786437" spans="1:1" x14ac:dyDescent="0.25">
      <c r="A786437" s="13" t="s">
        <v>2</v>
      </c>
    </row>
    <row r="786438" spans="1:1" x14ac:dyDescent="0.25">
      <c r="A786438" s="14" t="s">
        <v>25</v>
      </c>
    </row>
    <row r="786439" spans="1:1" x14ac:dyDescent="0.25">
      <c r="A786439" s="13" t="s">
        <v>126</v>
      </c>
    </row>
    <row r="786440" spans="1:1" x14ac:dyDescent="0.25">
      <c r="A786440" s="13" t="s">
        <v>127</v>
      </c>
    </row>
    <row r="786441" spans="1:1" x14ac:dyDescent="0.25">
      <c r="A786441" s="13" t="s">
        <v>88</v>
      </c>
    </row>
    <row r="786442" spans="1:1" x14ac:dyDescent="0.25">
      <c r="A786442" s="13" t="s">
        <v>22</v>
      </c>
    </row>
    <row r="786443" spans="1:1" x14ac:dyDescent="0.25">
      <c r="A786443" s="13" t="s">
        <v>3</v>
      </c>
    </row>
    <row r="786444" spans="1:1" x14ac:dyDescent="0.25">
      <c r="A786444" s="15" t="s">
        <v>95</v>
      </c>
    </row>
    <row r="786445" spans="1:1" x14ac:dyDescent="0.25">
      <c r="A786445" s="15" t="s">
        <v>94</v>
      </c>
    </row>
    <row r="786446" spans="1:1" x14ac:dyDescent="0.25">
      <c r="A786446" s="15" t="s">
        <v>4</v>
      </c>
    </row>
    <row r="786447" spans="1:1" x14ac:dyDescent="0.25">
      <c r="A786447" s="15" t="s">
        <v>118</v>
      </c>
    </row>
    <row r="786448" spans="1:1" x14ac:dyDescent="0.25">
      <c r="A786448" s="15" t="s">
        <v>5</v>
      </c>
    </row>
    <row r="786449" spans="1:1" x14ac:dyDescent="0.25">
      <c r="A786449" s="15" t="s">
        <v>6</v>
      </c>
    </row>
    <row r="786450" spans="1:1" x14ac:dyDescent="0.25">
      <c r="A786450" s="15" t="s">
        <v>7</v>
      </c>
    </row>
    <row r="786451" spans="1:1" x14ac:dyDescent="0.25">
      <c r="A786451" s="15" t="s">
        <v>8</v>
      </c>
    </row>
    <row r="786452" spans="1:1" x14ac:dyDescent="0.25">
      <c r="A786452" s="15" t="s">
        <v>9</v>
      </c>
    </row>
    <row r="786453" spans="1:1" x14ac:dyDescent="0.25">
      <c r="A786453" s="15" t="s">
        <v>10</v>
      </c>
    </row>
    <row r="786454" spans="1:1" x14ac:dyDescent="0.25">
      <c r="A786454" s="15" t="s">
        <v>11</v>
      </c>
    </row>
    <row r="786455" spans="1:1" x14ac:dyDescent="0.25">
      <c r="A786455" s="15" t="s">
        <v>12</v>
      </c>
    </row>
    <row r="786456" spans="1:1" x14ac:dyDescent="0.25">
      <c r="A786456" s="15" t="s">
        <v>13</v>
      </c>
    </row>
    <row r="786457" spans="1:1" x14ac:dyDescent="0.25">
      <c r="A786457" s="15" t="s">
        <v>14</v>
      </c>
    </row>
    <row r="786458" spans="1:1" x14ac:dyDescent="0.25">
      <c r="A786458" s="13" t="s">
        <v>31</v>
      </c>
    </row>
    <row r="786459" spans="1:1" x14ac:dyDescent="0.25">
      <c r="A786459" s="13" t="s">
        <v>87</v>
      </c>
    </row>
    <row r="786460" spans="1:1" x14ac:dyDescent="0.25">
      <c r="A786460" s="15" t="s">
        <v>30</v>
      </c>
    </row>
    <row r="786461" spans="1:1" x14ac:dyDescent="0.25">
      <c r="A786461" s="15" t="s">
        <v>26</v>
      </c>
    </row>
    <row r="786462" spans="1:1" x14ac:dyDescent="0.25">
      <c r="A786462" s="15" t="s">
        <v>27</v>
      </c>
    </row>
    <row r="786463" spans="1:1" x14ac:dyDescent="0.25">
      <c r="A786463" s="15" t="s">
        <v>28</v>
      </c>
    </row>
    <row r="786464" spans="1:1" x14ac:dyDescent="0.25">
      <c r="A786464" s="15" t="s">
        <v>89</v>
      </c>
    </row>
    <row r="786465" spans="1:1" x14ac:dyDescent="0.25">
      <c r="A786465" s="15" t="s">
        <v>90</v>
      </c>
    </row>
    <row r="786466" spans="1:1" x14ac:dyDescent="0.25">
      <c r="A786466" s="15" t="s">
        <v>185</v>
      </c>
    </row>
    <row r="786467" spans="1:1" x14ac:dyDescent="0.25">
      <c r="A786467" s="15" t="s">
        <v>186</v>
      </c>
    </row>
    <row r="786468" spans="1:1" x14ac:dyDescent="0.25">
      <c r="A786468" s="15" t="s">
        <v>187</v>
      </c>
    </row>
    <row r="786469" spans="1:1" x14ac:dyDescent="0.25">
      <c r="A786469" s="15" t="s">
        <v>188</v>
      </c>
    </row>
    <row r="786470" spans="1:1" x14ac:dyDescent="0.25">
      <c r="A786470" s="15" t="s">
        <v>189</v>
      </c>
    </row>
    <row r="786471" spans="1:1" x14ac:dyDescent="0.25">
      <c r="A786471" s="15" t="s">
        <v>190</v>
      </c>
    </row>
    <row r="786472" spans="1:1" x14ac:dyDescent="0.25">
      <c r="A786472" s="15" t="s">
        <v>191</v>
      </c>
    </row>
    <row r="786473" spans="1:1" x14ac:dyDescent="0.25">
      <c r="A786473" s="14" t="s">
        <v>47</v>
      </c>
    </row>
    <row r="786474" spans="1:1" x14ac:dyDescent="0.25">
      <c r="A786474" s="14" t="s">
        <v>119</v>
      </c>
    </row>
    <row r="786475" spans="1:1" x14ac:dyDescent="0.25">
      <c r="A786475" s="14" t="s">
        <v>86</v>
      </c>
    </row>
    <row r="786476" spans="1:1" x14ac:dyDescent="0.25">
      <c r="A786476" s="13" t="s">
        <v>21</v>
      </c>
    </row>
    <row r="786477" spans="1:1" x14ac:dyDescent="0.25">
      <c r="A786477" s="14" t="s">
        <v>92</v>
      </c>
    </row>
    <row r="786478" spans="1:1" x14ac:dyDescent="0.25">
      <c r="A786478" s="14" t="s">
        <v>93</v>
      </c>
    </row>
    <row r="786479" spans="1:1" x14ac:dyDescent="0.25">
      <c r="A786479" s="14" t="s">
        <v>99</v>
      </c>
    </row>
    <row r="786480" spans="1:1" x14ac:dyDescent="0.25">
      <c r="A786480" s="14" t="s">
        <v>100</v>
      </c>
    </row>
    <row r="786481" spans="1:1" x14ac:dyDescent="0.25">
      <c r="A786481" s="13" t="s">
        <v>24</v>
      </c>
    </row>
    <row r="786482" spans="1:1" x14ac:dyDescent="0.25">
      <c r="A786482" s="13" t="s">
        <v>83</v>
      </c>
    </row>
    <row r="786483" spans="1:1" x14ac:dyDescent="0.25">
      <c r="A786483" s="13" t="s">
        <v>106</v>
      </c>
    </row>
    <row r="786484" spans="1:1" x14ac:dyDescent="0.25">
      <c r="A786484" s="13" t="s">
        <v>101</v>
      </c>
    </row>
    <row r="786485" spans="1:1" x14ac:dyDescent="0.25">
      <c r="A786485" s="13" t="s">
        <v>102</v>
      </c>
    </row>
    <row r="786486" spans="1:1" x14ac:dyDescent="0.25">
      <c r="A786486" s="13" t="s">
        <v>103</v>
      </c>
    </row>
    <row r="786487" spans="1:1" x14ac:dyDescent="0.25">
      <c r="A786487" s="13" t="s">
        <v>104</v>
      </c>
    </row>
    <row r="786488" spans="1:1" x14ac:dyDescent="0.25">
      <c r="A786488" s="13" t="s">
        <v>105</v>
      </c>
    </row>
    <row r="802818" spans="1:1" x14ac:dyDescent="0.25">
      <c r="A802818" s="13" t="s">
        <v>0</v>
      </c>
    </row>
    <row r="802819" spans="1:1" x14ac:dyDescent="0.25">
      <c r="A802819" s="13" t="s">
        <v>125</v>
      </c>
    </row>
    <row r="802820" spans="1:1" x14ac:dyDescent="0.25">
      <c r="A802820" s="13" t="s">
        <v>1</v>
      </c>
    </row>
    <row r="802821" spans="1:1" x14ac:dyDescent="0.25">
      <c r="A802821" s="13" t="s">
        <v>2</v>
      </c>
    </row>
    <row r="802822" spans="1:1" x14ac:dyDescent="0.25">
      <c r="A802822" s="14" t="s">
        <v>25</v>
      </c>
    </row>
    <row r="802823" spans="1:1" x14ac:dyDescent="0.25">
      <c r="A802823" s="13" t="s">
        <v>126</v>
      </c>
    </row>
    <row r="802824" spans="1:1" x14ac:dyDescent="0.25">
      <c r="A802824" s="13" t="s">
        <v>127</v>
      </c>
    </row>
    <row r="802825" spans="1:1" x14ac:dyDescent="0.25">
      <c r="A802825" s="13" t="s">
        <v>88</v>
      </c>
    </row>
    <row r="802826" spans="1:1" x14ac:dyDescent="0.25">
      <c r="A802826" s="13" t="s">
        <v>22</v>
      </c>
    </row>
    <row r="802827" spans="1:1" x14ac:dyDescent="0.25">
      <c r="A802827" s="13" t="s">
        <v>3</v>
      </c>
    </row>
    <row r="802828" spans="1:1" x14ac:dyDescent="0.25">
      <c r="A802828" s="15" t="s">
        <v>95</v>
      </c>
    </row>
    <row r="802829" spans="1:1" x14ac:dyDescent="0.25">
      <c r="A802829" s="15" t="s">
        <v>94</v>
      </c>
    </row>
    <row r="802830" spans="1:1" x14ac:dyDescent="0.25">
      <c r="A802830" s="15" t="s">
        <v>4</v>
      </c>
    </row>
    <row r="802831" spans="1:1" x14ac:dyDescent="0.25">
      <c r="A802831" s="15" t="s">
        <v>118</v>
      </c>
    </row>
    <row r="802832" spans="1:1" x14ac:dyDescent="0.25">
      <c r="A802832" s="15" t="s">
        <v>5</v>
      </c>
    </row>
    <row r="802833" spans="1:1" x14ac:dyDescent="0.25">
      <c r="A802833" s="15" t="s">
        <v>6</v>
      </c>
    </row>
    <row r="802834" spans="1:1" x14ac:dyDescent="0.25">
      <c r="A802834" s="15" t="s">
        <v>7</v>
      </c>
    </row>
    <row r="802835" spans="1:1" x14ac:dyDescent="0.25">
      <c r="A802835" s="15" t="s">
        <v>8</v>
      </c>
    </row>
    <row r="802836" spans="1:1" x14ac:dyDescent="0.25">
      <c r="A802836" s="15" t="s">
        <v>9</v>
      </c>
    </row>
    <row r="802837" spans="1:1" x14ac:dyDescent="0.25">
      <c r="A802837" s="15" t="s">
        <v>10</v>
      </c>
    </row>
    <row r="802838" spans="1:1" x14ac:dyDescent="0.25">
      <c r="A802838" s="15" t="s">
        <v>11</v>
      </c>
    </row>
    <row r="802839" spans="1:1" x14ac:dyDescent="0.25">
      <c r="A802839" s="15" t="s">
        <v>12</v>
      </c>
    </row>
    <row r="802840" spans="1:1" x14ac:dyDescent="0.25">
      <c r="A802840" s="15" t="s">
        <v>13</v>
      </c>
    </row>
    <row r="802841" spans="1:1" x14ac:dyDescent="0.25">
      <c r="A802841" s="15" t="s">
        <v>14</v>
      </c>
    </row>
    <row r="802842" spans="1:1" x14ac:dyDescent="0.25">
      <c r="A802842" s="13" t="s">
        <v>31</v>
      </c>
    </row>
    <row r="802843" spans="1:1" x14ac:dyDescent="0.25">
      <c r="A802843" s="13" t="s">
        <v>87</v>
      </c>
    </row>
    <row r="802844" spans="1:1" x14ac:dyDescent="0.25">
      <c r="A802844" s="15" t="s">
        <v>30</v>
      </c>
    </row>
    <row r="802845" spans="1:1" x14ac:dyDescent="0.25">
      <c r="A802845" s="15" t="s">
        <v>26</v>
      </c>
    </row>
    <row r="802846" spans="1:1" x14ac:dyDescent="0.25">
      <c r="A802846" s="15" t="s">
        <v>27</v>
      </c>
    </row>
    <row r="802847" spans="1:1" x14ac:dyDescent="0.25">
      <c r="A802847" s="15" t="s">
        <v>28</v>
      </c>
    </row>
    <row r="802848" spans="1:1" x14ac:dyDescent="0.25">
      <c r="A802848" s="15" t="s">
        <v>89</v>
      </c>
    </row>
    <row r="802849" spans="1:1" x14ac:dyDescent="0.25">
      <c r="A802849" s="15" t="s">
        <v>90</v>
      </c>
    </row>
    <row r="802850" spans="1:1" x14ac:dyDescent="0.25">
      <c r="A802850" s="15" t="s">
        <v>185</v>
      </c>
    </row>
    <row r="802851" spans="1:1" x14ac:dyDescent="0.25">
      <c r="A802851" s="15" t="s">
        <v>186</v>
      </c>
    </row>
    <row r="802852" spans="1:1" x14ac:dyDescent="0.25">
      <c r="A802852" s="15" t="s">
        <v>187</v>
      </c>
    </row>
    <row r="802853" spans="1:1" x14ac:dyDescent="0.25">
      <c r="A802853" s="15" t="s">
        <v>188</v>
      </c>
    </row>
    <row r="802854" spans="1:1" x14ac:dyDescent="0.25">
      <c r="A802854" s="15" t="s">
        <v>189</v>
      </c>
    </row>
    <row r="802855" spans="1:1" x14ac:dyDescent="0.25">
      <c r="A802855" s="15" t="s">
        <v>190</v>
      </c>
    </row>
    <row r="802856" spans="1:1" x14ac:dyDescent="0.25">
      <c r="A802856" s="15" t="s">
        <v>191</v>
      </c>
    </row>
    <row r="802857" spans="1:1" x14ac:dyDescent="0.25">
      <c r="A802857" s="14" t="s">
        <v>47</v>
      </c>
    </row>
    <row r="802858" spans="1:1" x14ac:dyDescent="0.25">
      <c r="A802858" s="14" t="s">
        <v>119</v>
      </c>
    </row>
    <row r="802859" spans="1:1" x14ac:dyDescent="0.25">
      <c r="A802859" s="14" t="s">
        <v>86</v>
      </c>
    </row>
    <row r="802860" spans="1:1" x14ac:dyDescent="0.25">
      <c r="A802860" s="13" t="s">
        <v>21</v>
      </c>
    </row>
    <row r="802861" spans="1:1" x14ac:dyDescent="0.25">
      <c r="A802861" s="14" t="s">
        <v>92</v>
      </c>
    </row>
    <row r="802862" spans="1:1" x14ac:dyDescent="0.25">
      <c r="A802862" s="14" t="s">
        <v>93</v>
      </c>
    </row>
    <row r="802863" spans="1:1" x14ac:dyDescent="0.25">
      <c r="A802863" s="14" t="s">
        <v>99</v>
      </c>
    </row>
    <row r="802864" spans="1:1" x14ac:dyDescent="0.25">
      <c r="A802864" s="14" t="s">
        <v>100</v>
      </c>
    </row>
    <row r="802865" spans="1:1" x14ac:dyDescent="0.25">
      <c r="A802865" s="13" t="s">
        <v>24</v>
      </c>
    </row>
    <row r="802866" spans="1:1" x14ac:dyDescent="0.25">
      <c r="A802866" s="13" t="s">
        <v>83</v>
      </c>
    </row>
    <row r="802867" spans="1:1" x14ac:dyDescent="0.25">
      <c r="A802867" s="13" t="s">
        <v>106</v>
      </c>
    </row>
    <row r="802868" spans="1:1" x14ac:dyDescent="0.25">
      <c r="A802868" s="13" t="s">
        <v>101</v>
      </c>
    </row>
    <row r="802869" spans="1:1" x14ac:dyDescent="0.25">
      <c r="A802869" s="13" t="s">
        <v>102</v>
      </c>
    </row>
    <row r="802870" spans="1:1" x14ac:dyDescent="0.25">
      <c r="A802870" s="13" t="s">
        <v>103</v>
      </c>
    </row>
    <row r="802871" spans="1:1" x14ac:dyDescent="0.25">
      <c r="A802871" s="13" t="s">
        <v>104</v>
      </c>
    </row>
    <row r="802872" spans="1:1" x14ac:dyDescent="0.25">
      <c r="A802872" s="13" t="s">
        <v>105</v>
      </c>
    </row>
    <row r="819202" spans="1:1" x14ac:dyDescent="0.25">
      <c r="A819202" s="13" t="s">
        <v>0</v>
      </c>
    </row>
    <row r="819203" spans="1:1" x14ac:dyDescent="0.25">
      <c r="A819203" s="13" t="s">
        <v>125</v>
      </c>
    </row>
    <row r="819204" spans="1:1" x14ac:dyDescent="0.25">
      <c r="A819204" s="13" t="s">
        <v>1</v>
      </c>
    </row>
    <row r="819205" spans="1:1" x14ac:dyDescent="0.25">
      <c r="A819205" s="13" t="s">
        <v>2</v>
      </c>
    </row>
    <row r="819206" spans="1:1" x14ac:dyDescent="0.25">
      <c r="A819206" s="14" t="s">
        <v>25</v>
      </c>
    </row>
    <row r="819207" spans="1:1" x14ac:dyDescent="0.25">
      <c r="A819207" s="13" t="s">
        <v>126</v>
      </c>
    </row>
    <row r="819208" spans="1:1" x14ac:dyDescent="0.25">
      <c r="A819208" s="13" t="s">
        <v>127</v>
      </c>
    </row>
    <row r="819209" spans="1:1" x14ac:dyDescent="0.25">
      <c r="A819209" s="13" t="s">
        <v>88</v>
      </c>
    </row>
    <row r="819210" spans="1:1" x14ac:dyDescent="0.25">
      <c r="A819210" s="13" t="s">
        <v>22</v>
      </c>
    </row>
    <row r="819211" spans="1:1" x14ac:dyDescent="0.25">
      <c r="A819211" s="13" t="s">
        <v>3</v>
      </c>
    </row>
    <row r="819212" spans="1:1" x14ac:dyDescent="0.25">
      <c r="A819212" s="15" t="s">
        <v>95</v>
      </c>
    </row>
    <row r="819213" spans="1:1" x14ac:dyDescent="0.25">
      <c r="A819213" s="15" t="s">
        <v>94</v>
      </c>
    </row>
    <row r="819214" spans="1:1" x14ac:dyDescent="0.25">
      <c r="A819214" s="15" t="s">
        <v>4</v>
      </c>
    </row>
    <row r="819215" spans="1:1" x14ac:dyDescent="0.25">
      <c r="A819215" s="15" t="s">
        <v>118</v>
      </c>
    </row>
    <row r="819216" spans="1:1" x14ac:dyDescent="0.25">
      <c r="A819216" s="15" t="s">
        <v>5</v>
      </c>
    </row>
    <row r="819217" spans="1:1" x14ac:dyDescent="0.25">
      <c r="A819217" s="15" t="s">
        <v>6</v>
      </c>
    </row>
    <row r="819218" spans="1:1" x14ac:dyDescent="0.25">
      <c r="A819218" s="15" t="s">
        <v>7</v>
      </c>
    </row>
    <row r="819219" spans="1:1" x14ac:dyDescent="0.25">
      <c r="A819219" s="15" t="s">
        <v>8</v>
      </c>
    </row>
    <row r="819220" spans="1:1" x14ac:dyDescent="0.25">
      <c r="A819220" s="15" t="s">
        <v>9</v>
      </c>
    </row>
    <row r="819221" spans="1:1" x14ac:dyDescent="0.25">
      <c r="A819221" s="15" t="s">
        <v>10</v>
      </c>
    </row>
    <row r="819222" spans="1:1" x14ac:dyDescent="0.25">
      <c r="A819222" s="15" t="s">
        <v>11</v>
      </c>
    </row>
    <row r="819223" spans="1:1" x14ac:dyDescent="0.25">
      <c r="A819223" s="15" t="s">
        <v>12</v>
      </c>
    </row>
    <row r="819224" spans="1:1" x14ac:dyDescent="0.25">
      <c r="A819224" s="15" t="s">
        <v>13</v>
      </c>
    </row>
    <row r="819225" spans="1:1" x14ac:dyDescent="0.25">
      <c r="A819225" s="15" t="s">
        <v>14</v>
      </c>
    </row>
    <row r="819226" spans="1:1" x14ac:dyDescent="0.25">
      <c r="A819226" s="13" t="s">
        <v>31</v>
      </c>
    </row>
    <row r="819227" spans="1:1" x14ac:dyDescent="0.25">
      <c r="A819227" s="13" t="s">
        <v>87</v>
      </c>
    </row>
    <row r="819228" spans="1:1" x14ac:dyDescent="0.25">
      <c r="A819228" s="15" t="s">
        <v>30</v>
      </c>
    </row>
    <row r="819229" spans="1:1" x14ac:dyDescent="0.25">
      <c r="A819229" s="15" t="s">
        <v>26</v>
      </c>
    </row>
    <row r="819230" spans="1:1" x14ac:dyDescent="0.25">
      <c r="A819230" s="15" t="s">
        <v>27</v>
      </c>
    </row>
    <row r="819231" spans="1:1" x14ac:dyDescent="0.25">
      <c r="A819231" s="15" t="s">
        <v>28</v>
      </c>
    </row>
    <row r="819232" spans="1:1" x14ac:dyDescent="0.25">
      <c r="A819232" s="15" t="s">
        <v>89</v>
      </c>
    </row>
    <row r="819233" spans="1:1" x14ac:dyDescent="0.25">
      <c r="A819233" s="15" t="s">
        <v>90</v>
      </c>
    </row>
    <row r="819234" spans="1:1" x14ac:dyDescent="0.25">
      <c r="A819234" s="15" t="s">
        <v>185</v>
      </c>
    </row>
    <row r="819235" spans="1:1" x14ac:dyDescent="0.25">
      <c r="A819235" s="15" t="s">
        <v>186</v>
      </c>
    </row>
    <row r="819236" spans="1:1" x14ac:dyDescent="0.25">
      <c r="A819236" s="15" t="s">
        <v>187</v>
      </c>
    </row>
    <row r="819237" spans="1:1" x14ac:dyDescent="0.25">
      <c r="A819237" s="15" t="s">
        <v>188</v>
      </c>
    </row>
    <row r="819238" spans="1:1" x14ac:dyDescent="0.25">
      <c r="A819238" s="15" t="s">
        <v>189</v>
      </c>
    </row>
    <row r="819239" spans="1:1" x14ac:dyDescent="0.25">
      <c r="A819239" s="15" t="s">
        <v>190</v>
      </c>
    </row>
    <row r="819240" spans="1:1" x14ac:dyDescent="0.25">
      <c r="A819240" s="15" t="s">
        <v>191</v>
      </c>
    </row>
    <row r="819241" spans="1:1" x14ac:dyDescent="0.25">
      <c r="A819241" s="14" t="s">
        <v>47</v>
      </c>
    </row>
    <row r="819242" spans="1:1" x14ac:dyDescent="0.25">
      <c r="A819242" s="14" t="s">
        <v>119</v>
      </c>
    </row>
    <row r="819243" spans="1:1" x14ac:dyDescent="0.25">
      <c r="A819243" s="14" t="s">
        <v>86</v>
      </c>
    </row>
    <row r="819244" spans="1:1" x14ac:dyDescent="0.25">
      <c r="A819244" s="13" t="s">
        <v>21</v>
      </c>
    </row>
    <row r="819245" spans="1:1" x14ac:dyDescent="0.25">
      <c r="A819245" s="14" t="s">
        <v>92</v>
      </c>
    </row>
    <row r="819246" spans="1:1" x14ac:dyDescent="0.25">
      <c r="A819246" s="14" t="s">
        <v>93</v>
      </c>
    </row>
    <row r="819247" spans="1:1" x14ac:dyDescent="0.25">
      <c r="A819247" s="14" t="s">
        <v>99</v>
      </c>
    </row>
    <row r="819248" spans="1:1" x14ac:dyDescent="0.25">
      <c r="A819248" s="14" t="s">
        <v>100</v>
      </c>
    </row>
    <row r="819249" spans="1:1" x14ac:dyDescent="0.25">
      <c r="A819249" s="13" t="s">
        <v>24</v>
      </c>
    </row>
    <row r="819250" spans="1:1" x14ac:dyDescent="0.25">
      <c r="A819250" s="13" t="s">
        <v>83</v>
      </c>
    </row>
    <row r="819251" spans="1:1" x14ac:dyDescent="0.25">
      <c r="A819251" s="13" t="s">
        <v>106</v>
      </c>
    </row>
    <row r="819252" spans="1:1" x14ac:dyDescent="0.25">
      <c r="A819252" s="13" t="s">
        <v>101</v>
      </c>
    </row>
    <row r="819253" spans="1:1" x14ac:dyDescent="0.25">
      <c r="A819253" s="13" t="s">
        <v>102</v>
      </c>
    </row>
    <row r="819254" spans="1:1" x14ac:dyDescent="0.25">
      <c r="A819254" s="13" t="s">
        <v>103</v>
      </c>
    </row>
    <row r="819255" spans="1:1" x14ac:dyDescent="0.25">
      <c r="A819255" s="13" t="s">
        <v>104</v>
      </c>
    </row>
    <row r="819256" spans="1:1" x14ac:dyDescent="0.25">
      <c r="A819256" s="13" t="s">
        <v>105</v>
      </c>
    </row>
    <row r="835586" spans="1:1" x14ac:dyDescent="0.25">
      <c r="A835586" s="13" t="s">
        <v>0</v>
      </c>
    </row>
    <row r="835587" spans="1:1" x14ac:dyDescent="0.25">
      <c r="A835587" s="13" t="s">
        <v>125</v>
      </c>
    </row>
    <row r="835588" spans="1:1" x14ac:dyDescent="0.25">
      <c r="A835588" s="13" t="s">
        <v>1</v>
      </c>
    </row>
    <row r="835589" spans="1:1" x14ac:dyDescent="0.25">
      <c r="A835589" s="13" t="s">
        <v>2</v>
      </c>
    </row>
    <row r="835590" spans="1:1" x14ac:dyDescent="0.25">
      <c r="A835590" s="14" t="s">
        <v>25</v>
      </c>
    </row>
    <row r="835591" spans="1:1" x14ac:dyDescent="0.25">
      <c r="A835591" s="13" t="s">
        <v>126</v>
      </c>
    </row>
    <row r="835592" spans="1:1" x14ac:dyDescent="0.25">
      <c r="A835592" s="13" t="s">
        <v>127</v>
      </c>
    </row>
    <row r="835593" spans="1:1" x14ac:dyDescent="0.25">
      <c r="A835593" s="13" t="s">
        <v>88</v>
      </c>
    </row>
    <row r="835594" spans="1:1" x14ac:dyDescent="0.25">
      <c r="A835594" s="13" t="s">
        <v>22</v>
      </c>
    </row>
    <row r="835595" spans="1:1" x14ac:dyDescent="0.25">
      <c r="A835595" s="13" t="s">
        <v>3</v>
      </c>
    </row>
    <row r="835596" spans="1:1" x14ac:dyDescent="0.25">
      <c r="A835596" s="15" t="s">
        <v>95</v>
      </c>
    </row>
    <row r="835597" spans="1:1" x14ac:dyDescent="0.25">
      <c r="A835597" s="15" t="s">
        <v>94</v>
      </c>
    </row>
    <row r="835598" spans="1:1" x14ac:dyDescent="0.25">
      <c r="A835598" s="15" t="s">
        <v>4</v>
      </c>
    </row>
    <row r="835599" spans="1:1" x14ac:dyDescent="0.25">
      <c r="A835599" s="15" t="s">
        <v>118</v>
      </c>
    </row>
    <row r="835600" spans="1:1" x14ac:dyDescent="0.25">
      <c r="A835600" s="15" t="s">
        <v>5</v>
      </c>
    </row>
    <row r="835601" spans="1:1" x14ac:dyDescent="0.25">
      <c r="A835601" s="15" t="s">
        <v>6</v>
      </c>
    </row>
    <row r="835602" spans="1:1" x14ac:dyDescent="0.25">
      <c r="A835602" s="15" t="s">
        <v>7</v>
      </c>
    </row>
    <row r="835603" spans="1:1" x14ac:dyDescent="0.25">
      <c r="A835603" s="15" t="s">
        <v>8</v>
      </c>
    </row>
    <row r="835604" spans="1:1" x14ac:dyDescent="0.25">
      <c r="A835604" s="15" t="s">
        <v>9</v>
      </c>
    </row>
    <row r="835605" spans="1:1" x14ac:dyDescent="0.25">
      <c r="A835605" s="15" t="s">
        <v>10</v>
      </c>
    </row>
    <row r="835606" spans="1:1" x14ac:dyDescent="0.25">
      <c r="A835606" s="15" t="s">
        <v>11</v>
      </c>
    </row>
    <row r="835607" spans="1:1" x14ac:dyDescent="0.25">
      <c r="A835607" s="15" t="s">
        <v>12</v>
      </c>
    </row>
    <row r="835608" spans="1:1" x14ac:dyDescent="0.25">
      <c r="A835608" s="15" t="s">
        <v>13</v>
      </c>
    </row>
    <row r="835609" spans="1:1" x14ac:dyDescent="0.25">
      <c r="A835609" s="15" t="s">
        <v>14</v>
      </c>
    </row>
    <row r="835610" spans="1:1" x14ac:dyDescent="0.25">
      <c r="A835610" s="13" t="s">
        <v>31</v>
      </c>
    </row>
    <row r="835611" spans="1:1" x14ac:dyDescent="0.25">
      <c r="A835611" s="13" t="s">
        <v>87</v>
      </c>
    </row>
    <row r="835612" spans="1:1" x14ac:dyDescent="0.25">
      <c r="A835612" s="15" t="s">
        <v>30</v>
      </c>
    </row>
    <row r="835613" spans="1:1" x14ac:dyDescent="0.25">
      <c r="A835613" s="15" t="s">
        <v>26</v>
      </c>
    </row>
    <row r="835614" spans="1:1" x14ac:dyDescent="0.25">
      <c r="A835614" s="15" t="s">
        <v>27</v>
      </c>
    </row>
    <row r="835615" spans="1:1" x14ac:dyDescent="0.25">
      <c r="A835615" s="15" t="s">
        <v>28</v>
      </c>
    </row>
    <row r="835616" spans="1:1" x14ac:dyDescent="0.25">
      <c r="A835616" s="15" t="s">
        <v>89</v>
      </c>
    </row>
    <row r="835617" spans="1:1" x14ac:dyDescent="0.25">
      <c r="A835617" s="15" t="s">
        <v>90</v>
      </c>
    </row>
    <row r="835618" spans="1:1" x14ac:dyDescent="0.25">
      <c r="A835618" s="15" t="s">
        <v>185</v>
      </c>
    </row>
    <row r="835619" spans="1:1" x14ac:dyDescent="0.25">
      <c r="A835619" s="15" t="s">
        <v>186</v>
      </c>
    </row>
    <row r="835620" spans="1:1" x14ac:dyDescent="0.25">
      <c r="A835620" s="15" t="s">
        <v>187</v>
      </c>
    </row>
    <row r="835621" spans="1:1" x14ac:dyDescent="0.25">
      <c r="A835621" s="15" t="s">
        <v>188</v>
      </c>
    </row>
    <row r="835622" spans="1:1" x14ac:dyDescent="0.25">
      <c r="A835622" s="15" t="s">
        <v>189</v>
      </c>
    </row>
    <row r="835623" spans="1:1" x14ac:dyDescent="0.25">
      <c r="A835623" s="15" t="s">
        <v>190</v>
      </c>
    </row>
    <row r="835624" spans="1:1" x14ac:dyDescent="0.25">
      <c r="A835624" s="15" t="s">
        <v>191</v>
      </c>
    </row>
    <row r="835625" spans="1:1" x14ac:dyDescent="0.25">
      <c r="A835625" s="14" t="s">
        <v>47</v>
      </c>
    </row>
    <row r="835626" spans="1:1" x14ac:dyDescent="0.25">
      <c r="A835626" s="14" t="s">
        <v>119</v>
      </c>
    </row>
    <row r="835627" spans="1:1" x14ac:dyDescent="0.25">
      <c r="A835627" s="14" t="s">
        <v>86</v>
      </c>
    </row>
    <row r="835628" spans="1:1" x14ac:dyDescent="0.25">
      <c r="A835628" s="13" t="s">
        <v>21</v>
      </c>
    </row>
    <row r="835629" spans="1:1" x14ac:dyDescent="0.25">
      <c r="A835629" s="14" t="s">
        <v>92</v>
      </c>
    </row>
    <row r="835630" spans="1:1" x14ac:dyDescent="0.25">
      <c r="A835630" s="14" t="s">
        <v>93</v>
      </c>
    </row>
    <row r="835631" spans="1:1" x14ac:dyDescent="0.25">
      <c r="A835631" s="14" t="s">
        <v>99</v>
      </c>
    </row>
    <row r="835632" spans="1:1" x14ac:dyDescent="0.25">
      <c r="A835632" s="14" t="s">
        <v>100</v>
      </c>
    </row>
    <row r="835633" spans="1:1" x14ac:dyDescent="0.25">
      <c r="A835633" s="13" t="s">
        <v>24</v>
      </c>
    </row>
    <row r="835634" spans="1:1" x14ac:dyDescent="0.25">
      <c r="A835634" s="13" t="s">
        <v>83</v>
      </c>
    </row>
    <row r="835635" spans="1:1" x14ac:dyDescent="0.25">
      <c r="A835635" s="13" t="s">
        <v>106</v>
      </c>
    </row>
    <row r="835636" spans="1:1" x14ac:dyDescent="0.25">
      <c r="A835636" s="13" t="s">
        <v>101</v>
      </c>
    </row>
    <row r="835637" spans="1:1" x14ac:dyDescent="0.25">
      <c r="A835637" s="13" t="s">
        <v>102</v>
      </c>
    </row>
    <row r="835638" spans="1:1" x14ac:dyDescent="0.25">
      <c r="A835638" s="13" t="s">
        <v>103</v>
      </c>
    </row>
    <row r="835639" spans="1:1" x14ac:dyDescent="0.25">
      <c r="A835639" s="13" t="s">
        <v>104</v>
      </c>
    </row>
    <row r="835640" spans="1:1" x14ac:dyDescent="0.25">
      <c r="A835640" s="13" t="s">
        <v>105</v>
      </c>
    </row>
    <row r="851970" spans="1:1" x14ac:dyDescent="0.25">
      <c r="A851970" s="13" t="s">
        <v>0</v>
      </c>
    </row>
    <row r="851971" spans="1:1" x14ac:dyDescent="0.25">
      <c r="A851971" s="13" t="s">
        <v>125</v>
      </c>
    </row>
    <row r="851972" spans="1:1" x14ac:dyDescent="0.25">
      <c r="A851972" s="13" t="s">
        <v>1</v>
      </c>
    </row>
    <row r="851973" spans="1:1" x14ac:dyDescent="0.25">
      <c r="A851973" s="13" t="s">
        <v>2</v>
      </c>
    </row>
    <row r="851974" spans="1:1" x14ac:dyDescent="0.25">
      <c r="A851974" s="14" t="s">
        <v>25</v>
      </c>
    </row>
    <row r="851975" spans="1:1" x14ac:dyDescent="0.25">
      <c r="A851975" s="13" t="s">
        <v>126</v>
      </c>
    </row>
    <row r="851976" spans="1:1" x14ac:dyDescent="0.25">
      <c r="A851976" s="13" t="s">
        <v>127</v>
      </c>
    </row>
    <row r="851977" spans="1:1" x14ac:dyDescent="0.25">
      <c r="A851977" s="13" t="s">
        <v>88</v>
      </c>
    </row>
    <row r="851978" spans="1:1" x14ac:dyDescent="0.25">
      <c r="A851978" s="13" t="s">
        <v>22</v>
      </c>
    </row>
    <row r="851979" spans="1:1" x14ac:dyDescent="0.25">
      <c r="A851979" s="13" t="s">
        <v>3</v>
      </c>
    </row>
    <row r="851980" spans="1:1" x14ac:dyDescent="0.25">
      <c r="A851980" s="15" t="s">
        <v>95</v>
      </c>
    </row>
    <row r="851981" spans="1:1" x14ac:dyDescent="0.25">
      <c r="A851981" s="15" t="s">
        <v>94</v>
      </c>
    </row>
    <row r="851982" spans="1:1" x14ac:dyDescent="0.25">
      <c r="A851982" s="15" t="s">
        <v>4</v>
      </c>
    </row>
    <row r="851983" spans="1:1" x14ac:dyDescent="0.25">
      <c r="A851983" s="15" t="s">
        <v>118</v>
      </c>
    </row>
    <row r="851984" spans="1:1" x14ac:dyDescent="0.25">
      <c r="A851984" s="15" t="s">
        <v>5</v>
      </c>
    </row>
    <row r="851985" spans="1:1" x14ac:dyDescent="0.25">
      <c r="A851985" s="15" t="s">
        <v>6</v>
      </c>
    </row>
    <row r="851986" spans="1:1" x14ac:dyDescent="0.25">
      <c r="A851986" s="15" t="s">
        <v>7</v>
      </c>
    </row>
    <row r="851987" spans="1:1" x14ac:dyDescent="0.25">
      <c r="A851987" s="15" t="s">
        <v>8</v>
      </c>
    </row>
    <row r="851988" spans="1:1" x14ac:dyDescent="0.25">
      <c r="A851988" s="15" t="s">
        <v>9</v>
      </c>
    </row>
    <row r="851989" spans="1:1" x14ac:dyDescent="0.25">
      <c r="A851989" s="15" t="s">
        <v>10</v>
      </c>
    </row>
    <row r="851990" spans="1:1" x14ac:dyDescent="0.25">
      <c r="A851990" s="15" t="s">
        <v>11</v>
      </c>
    </row>
    <row r="851991" spans="1:1" x14ac:dyDescent="0.25">
      <c r="A851991" s="15" t="s">
        <v>12</v>
      </c>
    </row>
    <row r="851992" spans="1:1" x14ac:dyDescent="0.25">
      <c r="A851992" s="15" t="s">
        <v>13</v>
      </c>
    </row>
    <row r="851993" spans="1:1" x14ac:dyDescent="0.25">
      <c r="A851993" s="15" t="s">
        <v>14</v>
      </c>
    </row>
    <row r="851994" spans="1:1" x14ac:dyDescent="0.25">
      <c r="A851994" s="13" t="s">
        <v>31</v>
      </c>
    </row>
    <row r="851995" spans="1:1" x14ac:dyDescent="0.25">
      <c r="A851995" s="13" t="s">
        <v>87</v>
      </c>
    </row>
    <row r="851996" spans="1:1" x14ac:dyDescent="0.25">
      <c r="A851996" s="15" t="s">
        <v>30</v>
      </c>
    </row>
    <row r="851997" spans="1:1" x14ac:dyDescent="0.25">
      <c r="A851997" s="15" t="s">
        <v>26</v>
      </c>
    </row>
    <row r="851998" spans="1:1" x14ac:dyDescent="0.25">
      <c r="A851998" s="15" t="s">
        <v>27</v>
      </c>
    </row>
    <row r="851999" spans="1:1" x14ac:dyDescent="0.25">
      <c r="A851999" s="15" t="s">
        <v>28</v>
      </c>
    </row>
    <row r="852000" spans="1:1" x14ac:dyDescent="0.25">
      <c r="A852000" s="15" t="s">
        <v>89</v>
      </c>
    </row>
    <row r="852001" spans="1:1" x14ac:dyDescent="0.25">
      <c r="A852001" s="15" t="s">
        <v>90</v>
      </c>
    </row>
    <row r="852002" spans="1:1" x14ac:dyDescent="0.25">
      <c r="A852002" s="15" t="s">
        <v>185</v>
      </c>
    </row>
    <row r="852003" spans="1:1" x14ac:dyDescent="0.25">
      <c r="A852003" s="15" t="s">
        <v>186</v>
      </c>
    </row>
    <row r="852004" spans="1:1" x14ac:dyDescent="0.25">
      <c r="A852004" s="15" t="s">
        <v>187</v>
      </c>
    </row>
    <row r="852005" spans="1:1" x14ac:dyDescent="0.25">
      <c r="A852005" s="15" t="s">
        <v>188</v>
      </c>
    </row>
    <row r="852006" spans="1:1" x14ac:dyDescent="0.25">
      <c r="A852006" s="15" t="s">
        <v>189</v>
      </c>
    </row>
    <row r="852007" spans="1:1" x14ac:dyDescent="0.25">
      <c r="A852007" s="15" t="s">
        <v>190</v>
      </c>
    </row>
    <row r="852008" spans="1:1" x14ac:dyDescent="0.25">
      <c r="A852008" s="15" t="s">
        <v>191</v>
      </c>
    </row>
    <row r="852009" spans="1:1" x14ac:dyDescent="0.25">
      <c r="A852009" s="14" t="s">
        <v>47</v>
      </c>
    </row>
    <row r="852010" spans="1:1" x14ac:dyDescent="0.25">
      <c r="A852010" s="14" t="s">
        <v>119</v>
      </c>
    </row>
    <row r="852011" spans="1:1" x14ac:dyDescent="0.25">
      <c r="A852011" s="14" t="s">
        <v>86</v>
      </c>
    </row>
    <row r="852012" spans="1:1" x14ac:dyDescent="0.25">
      <c r="A852012" s="13" t="s">
        <v>21</v>
      </c>
    </row>
    <row r="852013" spans="1:1" x14ac:dyDescent="0.25">
      <c r="A852013" s="14" t="s">
        <v>92</v>
      </c>
    </row>
    <row r="852014" spans="1:1" x14ac:dyDescent="0.25">
      <c r="A852014" s="14" t="s">
        <v>93</v>
      </c>
    </row>
    <row r="852015" spans="1:1" x14ac:dyDescent="0.25">
      <c r="A852015" s="14" t="s">
        <v>99</v>
      </c>
    </row>
    <row r="852016" spans="1:1" x14ac:dyDescent="0.25">
      <c r="A852016" s="14" t="s">
        <v>100</v>
      </c>
    </row>
    <row r="852017" spans="1:1" x14ac:dyDescent="0.25">
      <c r="A852017" s="13" t="s">
        <v>24</v>
      </c>
    </row>
    <row r="852018" spans="1:1" x14ac:dyDescent="0.25">
      <c r="A852018" s="13" t="s">
        <v>83</v>
      </c>
    </row>
    <row r="852019" spans="1:1" x14ac:dyDescent="0.25">
      <c r="A852019" s="13" t="s">
        <v>106</v>
      </c>
    </row>
    <row r="852020" spans="1:1" x14ac:dyDescent="0.25">
      <c r="A852020" s="13" t="s">
        <v>101</v>
      </c>
    </row>
    <row r="852021" spans="1:1" x14ac:dyDescent="0.25">
      <c r="A852021" s="13" t="s">
        <v>102</v>
      </c>
    </row>
    <row r="852022" spans="1:1" x14ac:dyDescent="0.25">
      <c r="A852022" s="13" t="s">
        <v>103</v>
      </c>
    </row>
    <row r="852023" spans="1:1" x14ac:dyDescent="0.25">
      <c r="A852023" s="13" t="s">
        <v>104</v>
      </c>
    </row>
    <row r="852024" spans="1:1" x14ac:dyDescent="0.25">
      <c r="A852024" s="13" t="s">
        <v>105</v>
      </c>
    </row>
    <row r="868354" spans="1:1" x14ac:dyDescent="0.25">
      <c r="A868354" s="13" t="s">
        <v>0</v>
      </c>
    </row>
    <row r="868355" spans="1:1" x14ac:dyDescent="0.25">
      <c r="A868355" s="13" t="s">
        <v>125</v>
      </c>
    </row>
    <row r="868356" spans="1:1" x14ac:dyDescent="0.25">
      <c r="A868356" s="13" t="s">
        <v>1</v>
      </c>
    </row>
    <row r="868357" spans="1:1" x14ac:dyDescent="0.25">
      <c r="A868357" s="13" t="s">
        <v>2</v>
      </c>
    </row>
    <row r="868358" spans="1:1" x14ac:dyDescent="0.25">
      <c r="A868358" s="14" t="s">
        <v>25</v>
      </c>
    </row>
    <row r="868359" spans="1:1" x14ac:dyDescent="0.25">
      <c r="A868359" s="13" t="s">
        <v>126</v>
      </c>
    </row>
    <row r="868360" spans="1:1" x14ac:dyDescent="0.25">
      <c r="A868360" s="13" t="s">
        <v>127</v>
      </c>
    </row>
    <row r="868361" spans="1:1" x14ac:dyDescent="0.25">
      <c r="A868361" s="13" t="s">
        <v>88</v>
      </c>
    </row>
    <row r="868362" spans="1:1" x14ac:dyDescent="0.25">
      <c r="A868362" s="13" t="s">
        <v>22</v>
      </c>
    </row>
    <row r="868363" spans="1:1" x14ac:dyDescent="0.25">
      <c r="A868363" s="13" t="s">
        <v>3</v>
      </c>
    </row>
    <row r="868364" spans="1:1" x14ac:dyDescent="0.25">
      <c r="A868364" s="15" t="s">
        <v>95</v>
      </c>
    </row>
    <row r="868365" spans="1:1" x14ac:dyDescent="0.25">
      <c r="A868365" s="15" t="s">
        <v>94</v>
      </c>
    </row>
    <row r="868366" spans="1:1" x14ac:dyDescent="0.25">
      <c r="A868366" s="15" t="s">
        <v>4</v>
      </c>
    </row>
    <row r="868367" spans="1:1" x14ac:dyDescent="0.25">
      <c r="A868367" s="15" t="s">
        <v>118</v>
      </c>
    </row>
    <row r="868368" spans="1:1" x14ac:dyDescent="0.25">
      <c r="A868368" s="15" t="s">
        <v>5</v>
      </c>
    </row>
    <row r="868369" spans="1:1" x14ac:dyDescent="0.25">
      <c r="A868369" s="15" t="s">
        <v>6</v>
      </c>
    </row>
    <row r="868370" spans="1:1" x14ac:dyDescent="0.25">
      <c r="A868370" s="15" t="s">
        <v>7</v>
      </c>
    </row>
    <row r="868371" spans="1:1" x14ac:dyDescent="0.25">
      <c r="A868371" s="15" t="s">
        <v>8</v>
      </c>
    </row>
    <row r="868372" spans="1:1" x14ac:dyDescent="0.25">
      <c r="A868372" s="15" t="s">
        <v>9</v>
      </c>
    </row>
    <row r="868373" spans="1:1" x14ac:dyDescent="0.25">
      <c r="A868373" s="15" t="s">
        <v>10</v>
      </c>
    </row>
    <row r="868374" spans="1:1" x14ac:dyDescent="0.25">
      <c r="A868374" s="15" t="s">
        <v>11</v>
      </c>
    </row>
    <row r="868375" spans="1:1" x14ac:dyDescent="0.25">
      <c r="A868375" s="15" t="s">
        <v>12</v>
      </c>
    </row>
    <row r="868376" spans="1:1" x14ac:dyDescent="0.25">
      <c r="A868376" s="15" t="s">
        <v>13</v>
      </c>
    </row>
    <row r="868377" spans="1:1" x14ac:dyDescent="0.25">
      <c r="A868377" s="15" t="s">
        <v>14</v>
      </c>
    </row>
    <row r="868378" spans="1:1" x14ac:dyDescent="0.25">
      <c r="A868378" s="13" t="s">
        <v>31</v>
      </c>
    </row>
    <row r="868379" spans="1:1" x14ac:dyDescent="0.25">
      <c r="A868379" s="13" t="s">
        <v>87</v>
      </c>
    </row>
    <row r="868380" spans="1:1" x14ac:dyDescent="0.25">
      <c r="A868380" s="15" t="s">
        <v>30</v>
      </c>
    </row>
    <row r="868381" spans="1:1" x14ac:dyDescent="0.25">
      <c r="A868381" s="15" t="s">
        <v>26</v>
      </c>
    </row>
    <row r="868382" spans="1:1" x14ac:dyDescent="0.25">
      <c r="A868382" s="15" t="s">
        <v>27</v>
      </c>
    </row>
    <row r="868383" spans="1:1" x14ac:dyDescent="0.25">
      <c r="A868383" s="15" t="s">
        <v>28</v>
      </c>
    </row>
    <row r="868384" spans="1:1" x14ac:dyDescent="0.25">
      <c r="A868384" s="15" t="s">
        <v>89</v>
      </c>
    </row>
    <row r="868385" spans="1:1" x14ac:dyDescent="0.25">
      <c r="A868385" s="15" t="s">
        <v>90</v>
      </c>
    </row>
    <row r="868386" spans="1:1" x14ac:dyDescent="0.25">
      <c r="A868386" s="15" t="s">
        <v>185</v>
      </c>
    </row>
    <row r="868387" spans="1:1" x14ac:dyDescent="0.25">
      <c r="A868387" s="15" t="s">
        <v>186</v>
      </c>
    </row>
    <row r="868388" spans="1:1" x14ac:dyDescent="0.25">
      <c r="A868388" s="15" t="s">
        <v>187</v>
      </c>
    </row>
    <row r="868389" spans="1:1" x14ac:dyDescent="0.25">
      <c r="A868389" s="15" t="s">
        <v>188</v>
      </c>
    </row>
    <row r="868390" spans="1:1" x14ac:dyDescent="0.25">
      <c r="A868390" s="15" t="s">
        <v>189</v>
      </c>
    </row>
    <row r="868391" spans="1:1" x14ac:dyDescent="0.25">
      <c r="A868391" s="15" t="s">
        <v>190</v>
      </c>
    </row>
    <row r="868392" spans="1:1" x14ac:dyDescent="0.25">
      <c r="A868392" s="15" t="s">
        <v>191</v>
      </c>
    </row>
    <row r="868393" spans="1:1" x14ac:dyDescent="0.25">
      <c r="A868393" s="14" t="s">
        <v>47</v>
      </c>
    </row>
    <row r="868394" spans="1:1" x14ac:dyDescent="0.25">
      <c r="A868394" s="14" t="s">
        <v>119</v>
      </c>
    </row>
    <row r="868395" spans="1:1" x14ac:dyDescent="0.25">
      <c r="A868395" s="14" t="s">
        <v>86</v>
      </c>
    </row>
    <row r="868396" spans="1:1" x14ac:dyDescent="0.25">
      <c r="A868396" s="13" t="s">
        <v>21</v>
      </c>
    </row>
    <row r="868397" spans="1:1" x14ac:dyDescent="0.25">
      <c r="A868397" s="14" t="s">
        <v>92</v>
      </c>
    </row>
    <row r="868398" spans="1:1" x14ac:dyDescent="0.25">
      <c r="A868398" s="14" t="s">
        <v>93</v>
      </c>
    </row>
    <row r="868399" spans="1:1" x14ac:dyDescent="0.25">
      <c r="A868399" s="14" t="s">
        <v>99</v>
      </c>
    </row>
    <row r="868400" spans="1:1" x14ac:dyDescent="0.25">
      <c r="A868400" s="14" t="s">
        <v>100</v>
      </c>
    </row>
    <row r="868401" spans="1:1" x14ac:dyDescent="0.25">
      <c r="A868401" s="13" t="s">
        <v>24</v>
      </c>
    </row>
    <row r="868402" spans="1:1" x14ac:dyDescent="0.25">
      <c r="A868402" s="13" t="s">
        <v>83</v>
      </c>
    </row>
    <row r="868403" spans="1:1" x14ac:dyDescent="0.25">
      <c r="A868403" s="13" t="s">
        <v>106</v>
      </c>
    </row>
    <row r="868404" spans="1:1" x14ac:dyDescent="0.25">
      <c r="A868404" s="13" t="s">
        <v>101</v>
      </c>
    </row>
    <row r="868405" spans="1:1" x14ac:dyDescent="0.25">
      <c r="A868405" s="13" t="s">
        <v>102</v>
      </c>
    </row>
    <row r="868406" spans="1:1" x14ac:dyDescent="0.25">
      <c r="A868406" s="13" t="s">
        <v>103</v>
      </c>
    </row>
    <row r="868407" spans="1:1" x14ac:dyDescent="0.25">
      <c r="A868407" s="13" t="s">
        <v>104</v>
      </c>
    </row>
    <row r="868408" spans="1:1" x14ac:dyDescent="0.25">
      <c r="A868408" s="13" t="s">
        <v>105</v>
      </c>
    </row>
    <row r="884738" spans="1:1" x14ac:dyDescent="0.25">
      <c r="A884738" s="13" t="s">
        <v>0</v>
      </c>
    </row>
    <row r="884739" spans="1:1" x14ac:dyDescent="0.25">
      <c r="A884739" s="13" t="s">
        <v>125</v>
      </c>
    </row>
    <row r="884740" spans="1:1" x14ac:dyDescent="0.25">
      <c r="A884740" s="13" t="s">
        <v>1</v>
      </c>
    </row>
    <row r="884741" spans="1:1" x14ac:dyDescent="0.25">
      <c r="A884741" s="13" t="s">
        <v>2</v>
      </c>
    </row>
    <row r="884742" spans="1:1" x14ac:dyDescent="0.25">
      <c r="A884742" s="14" t="s">
        <v>25</v>
      </c>
    </row>
    <row r="884743" spans="1:1" x14ac:dyDescent="0.25">
      <c r="A884743" s="13" t="s">
        <v>126</v>
      </c>
    </row>
    <row r="884744" spans="1:1" x14ac:dyDescent="0.25">
      <c r="A884744" s="13" t="s">
        <v>127</v>
      </c>
    </row>
    <row r="884745" spans="1:1" x14ac:dyDescent="0.25">
      <c r="A884745" s="13" t="s">
        <v>88</v>
      </c>
    </row>
    <row r="884746" spans="1:1" x14ac:dyDescent="0.25">
      <c r="A884746" s="13" t="s">
        <v>22</v>
      </c>
    </row>
    <row r="884747" spans="1:1" x14ac:dyDescent="0.25">
      <c r="A884747" s="13" t="s">
        <v>3</v>
      </c>
    </row>
    <row r="884748" spans="1:1" x14ac:dyDescent="0.25">
      <c r="A884748" s="15" t="s">
        <v>95</v>
      </c>
    </row>
    <row r="884749" spans="1:1" x14ac:dyDescent="0.25">
      <c r="A884749" s="15" t="s">
        <v>94</v>
      </c>
    </row>
    <row r="884750" spans="1:1" x14ac:dyDescent="0.25">
      <c r="A884750" s="15" t="s">
        <v>4</v>
      </c>
    </row>
    <row r="884751" spans="1:1" x14ac:dyDescent="0.25">
      <c r="A884751" s="15" t="s">
        <v>118</v>
      </c>
    </row>
    <row r="884752" spans="1:1" x14ac:dyDescent="0.25">
      <c r="A884752" s="15" t="s">
        <v>5</v>
      </c>
    </row>
    <row r="884753" spans="1:1" x14ac:dyDescent="0.25">
      <c r="A884753" s="15" t="s">
        <v>6</v>
      </c>
    </row>
    <row r="884754" spans="1:1" x14ac:dyDescent="0.25">
      <c r="A884754" s="15" t="s">
        <v>7</v>
      </c>
    </row>
    <row r="884755" spans="1:1" x14ac:dyDescent="0.25">
      <c r="A884755" s="15" t="s">
        <v>8</v>
      </c>
    </row>
    <row r="884756" spans="1:1" x14ac:dyDescent="0.25">
      <c r="A884756" s="15" t="s">
        <v>9</v>
      </c>
    </row>
    <row r="884757" spans="1:1" x14ac:dyDescent="0.25">
      <c r="A884757" s="15" t="s">
        <v>10</v>
      </c>
    </row>
    <row r="884758" spans="1:1" x14ac:dyDescent="0.25">
      <c r="A884758" s="15" t="s">
        <v>11</v>
      </c>
    </row>
    <row r="884759" spans="1:1" x14ac:dyDescent="0.25">
      <c r="A884759" s="15" t="s">
        <v>12</v>
      </c>
    </row>
    <row r="884760" spans="1:1" x14ac:dyDescent="0.25">
      <c r="A884760" s="15" t="s">
        <v>13</v>
      </c>
    </row>
    <row r="884761" spans="1:1" x14ac:dyDescent="0.25">
      <c r="A884761" s="15" t="s">
        <v>14</v>
      </c>
    </row>
    <row r="884762" spans="1:1" x14ac:dyDescent="0.25">
      <c r="A884762" s="13" t="s">
        <v>31</v>
      </c>
    </row>
    <row r="884763" spans="1:1" x14ac:dyDescent="0.25">
      <c r="A884763" s="13" t="s">
        <v>87</v>
      </c>
    </row>
    <row r="884764" spans="1:1" x14ac:dyDescent="0.25">
      <c r="A884764" s="15" t="s">
        <v>30</v>
      </c>
    </row>
    <row r="884765" spans="1:1" x14ac:dyDescent="0.25">
      <c r="A884765" s="15" t="s">
        <v>26</v>
      </c>
    </row>
    <row r="884766" spans="1:1" x14ac:dyDescent="0.25">
      <c r="A884766" s="15" t="s">
        <v>27</v>
      </c>
    </row>
    <row r="884767" spans="1:1" x14ac:dyDescent="0.25">
      <c r="A884767" s="15" t="s">
        <v>28</v>
      </c>
    </row>
    <row r="884768" spans="1:1" x14ac:dyDescent="0.25">
      <c r="A884768" s="15" t="s">
        <v>89</v>
      </c>
    </row>
    <row r="884769" spans="1:1" x14ac:dyDescent="0.25">
      <c r="A884769" s="15" t="s">
        <v>90</v>
      </c>
    </row>
    <row r="884770" spans="1:1" x14ac:dyDescent="0.25">
      <c r="A884770" s="15" t="s">
        <v>185</v>
      </c>
    </row>
    <row r="884771" spans="1:1" x14ac:dyDescent="0.25">
      <c r="A884771" s="15" t="s">
        <v>186</v>
      </c>
    </row>
    <row r="884772" spans="1:1" x14ac:dyDescent="0.25">
      <c r="A884772" s="15" t="s">
        <v>187</v>
      </c>
    </row>
    <row r="884773" spans="1:1" x14ac:dyDescent="0.25">
      <c r="A884773" s="15" t="s">
        <v>188</v>
      </c>
    </row>
    <row r="884774" spans="1:1" x14ac:dyDescent="0.25">
      <c r="A884774" s="15" t="s">
        <v>189</v>
      </c>
    </row>
    <row r="884775" spans="1:1" x14ac:dyDescent="0.25">
      <c r="A884775" s="15" t="s">
        <v>190</v>
      </c>
    </row>
    <row r="884776" spans="1:1" x14ac:dyDescent="0.25">
      <c r="A884776" s="15" t="s">
        <v>191</v>
      </c>
    </row>
    <row r="884777" spans="1:1" x14ac:dyDescent="0.25">
      <c r="A884777" s="14" t="s">
        <v>47</v>
      </c>
    </row>
    <row r="884778" spans="1:1" x14ac:dyDescent="0.25">
      <c r="A884778" s="14" t="s">
        <v>119</v>
      </c>
    </row>
    <row r="884779" spans="1:1" x14ac:dyDescent="0.25">
      <c r="A884779" s="14" t="s">
        <v>86</v>
      </c>
    </row>
    <row r="884780" spans="1:1" x14ac:dyDescent="0.25">
      <c r="A884780" s="13" t="s">
        <v>21</v>
      </c>
    </row>
    <row r="884781" spans="1:1" x14ac:dyDescent="0.25">
      <c r="A884781" s="14" t="s">
        <v>92</v>
      </c>
    </row>
    <row r="884782" spans="1:1" x14ac:dyDescent="0.25">
      <c r="A884782" s="14" t="s">
        <v>93</v>
      </c>
    </row>
    <row r="884783" spans="1:1" x14ac:dyDescent="0.25">
      <c r="A884783" s="14" t="s">
        <v>99</v>
      </c>
    </row>
    <row r="884784" spans="1:1" x14ac:dyDescent="0.25">
      <c r="A884784" s="14" t="s">
        <v>100</v>
      </c>
    </row>
    <row r="884785" spans="1:1" x14ac:dyDescent="0.25">
      <c r="A884785" s="13" t="s">
        <v>24</v>
      </c>
    </row>
    <row r="884786" spans="1:1" x14ac:dyDescent="0.25">
      <c r="A884786" s="13" t="s">
        <v>83</v>
      </c>
    </row>
    <row r="884787" spans="1:1" x14ac:dyDescent="0.25">
      <c r="A884787" s="13" t="s">
        <v>106</v>
      </c>
    </row>
    <row r="884788" spans="1:1" x14ac:dyDescent="0.25">
      <c r="A884788" s="13" t="s">
        <v>101</v>
      </c>
    </row>
    <row r="884789" spans="1:1" x14ac:dyDescent="0.25">
      <c r="A884789" s="13" t="s">
        <v>102</v>
      </c>
    </row>
    <row r="884790" spans="1:1" x14ac:dyDescent="0.25">
      <c r="A884790" s="13" t="s">
        <v>103</v>
      </c>
    </row>
    <row r="884791" spans="1:1" x14ac:dyDescent="0.25">
      <c r="A884791" s="13" t="s">
        <v>104</v>
      </c>
    </row>
    <row r="884792" spans="1:1" x14ac:dyDescent="0.25">
      <c r="A884792" s="13" t="s">
        <v>105</v>
      </c>
    </row>
    <row r="901122" spans="1:1" x14ac:dyDescent="0.25">
      <c r="A901122" s="13" t="s">
        <v>0</v>
      </c>
    </row>
    <row r="901123" spans="1:1" x14ac:dyDescent="0.25">
      <c r="A901123" s="13" t="s">
        <v>125</v>
      </c>
    </row>
    <row r="901124" spans="1:1" x14ac:dyDescent="0.25">
      <c r="A901124" s="13" t="s">
        <v>1</v>
      </c>
    </row>
    <row r="901125" spans="1:1" x14ac:dyDescent="0.25">
      <c r="A901125" s="13" t="s">
        <v>2</v>
      </c>
    </row>
    <row r="901126" spans="1:1" x14ac:dyDescent="0.25">
      <c r="A901126" s="14" t="s">
        <v>25</v>
      </c>
    </row>
    <row r="901127" spans="1:1" x14ac:dyDescent="0.25">
      <c r="A901127" s="13" t="s">
        <v>126</v>
      </c>
    </row>
    <row r="901128" spans="1:1" x14ac:dyDescent="0.25">
      <c r="A901128" s="13" t="s">
        <v>127</v>
      </c>
    </row>
    <row r="901129" spans="1:1" x14ac:dyDescent="0.25">
      <c r="A901129" s="13" t="s">
        <v>88</v>
      </c>
    </row>
    <row r="901130" spans="1:1" x14ac:dyDescent="0.25">
      <c r="A901130" s="13" t="s">
        <v>22</v>
      </c>
    </row>
    <row r="901131" spans="1:1" x14ac:dyDescent="0.25">
      <c r="A901131" s="13" t="s">
        <v>3</v>
      </c>
    </row>
    <row r="901132" spans="1:1" x14ac:dyDescent="0.25">
      <c r="A901132" s="15" t="s">
        <v>95</v>
      </c>
    </row>
    <row r="901133" spans="1:1" x14ac:dyDescent="0.25">
      <c r="A901133" s="15" t="s">
        <v>94</v>
      </c>
    </row>
    <row r="901134" spans="1:1" x14ac:dyDescent="0.25">
      <c r="A901134" s="15" t="s">
        <v>4</v>
      </c>
    </row>
    <row r="901135" spans="1:1" x14ac:dyDescent="0.25">
      <c r="A901135" s="15" t="s">
        <v>118</v>
      </c>
    </row>
    <row r="901136" spans="1:1" x14ac:dyDescent="0.25">
      <c r="A901136" s="15" t="s">
        <v>5</v>
      </c>
    </row>
    <row r="901137" spans="1:1" x14ac:dyDescent="0.25">
      <c r="A901137" s="15" t="s">
        <v>6</v>
      </c>
    </row>
    <row r="901138" spans="1:1" x14ac:dyDescent="0.25">
      <c r="A901138" s="15" t="s">
        <v>7</v>
      </c>
    </row>
    <row r="901139" spans="1:1" x14ac:dyDescent="0.25">
      <c r="A901139" s="15" t="s">
        <v>8</v>
      </c>
    </row>
    <row r="901140" spans="1:1" x14ac:dyDescent="0.25">
      <c r="A901140" s="15" t="s">
        <v>9</v>
      </c>
    </row>
    <row r="901141" spans="1:1" x14ac:dyDescent="0.25">
      <c r="A901141" s="15" t="s">
        <v>10</v>
      </c>
    </row>
    <row r="901142" spans="1:1" x14ac:dyDescent="0.25">
      <c r="A901142" s="15" t="s">
        <v>11</v>
      </c>
    </row>
    <row r="901143" spans="1:1" x14ac:dyDescent="0.25">
      <c r="A901143" s="15" t="s">
        <v>12</v>
      </c>
    </row>
    <row r="901144" spans="1:1" x14ac:dyDescent="0.25">
      <c r="A901144" s="15" t="s">
        <v>13</v>
      </c>
    </row>
    <row r="901145" spans="1:1" x14ac:dyDescent="0.25">
      <c r="A901145" s="15" t="s">
        <v>14</v>
      </c>
    </row>
    <row r="901146" spans="1:1" x14ac:dyDescent="0.25">
      <c r="A901146" s="13" t="s">
        <v>31</v>
      </c>
    </row>
    <row r="901147" spans="1:1" x14ac:dyDescent="0.25">
      <c r="A901147" s="13" t="s">
        <v>87</v>
      </c>
    </row>
    <row r="901148" spans="1:1" x14ac:dyDescent="0.25">
      <c r="A901148" s="15" t="s">
        <v>30</v>
      </c>
    </row>
    <row r="901149" spans="1:1" x14ac:dyDescent="0.25">
      <c r="A901149" s="15" t="s">
        <v>26</v>
      </c>
    </row>
    <row r="901150" spans="1:1" x14ac:dyDescent="0.25">
      <c r="A901150" s="15" t="s">
        <v>27</v>
      </c>
    </row>
    <row r="901151" spans="1:1" x14ac:dyDescent="0.25">
      <c r="A901151" s="15" t="s">
        <v>28</v>
      </c>
    </row>
    <row r="901152" spans="1:1" x14ac:dyDescent="0.25">
      <c r="A901152" s="15" t="s">
        <v>89</v>
      </c>
    </row>
    <row r="901153" spans="1:1" x14ac:dyDescent="0.25">
      <c r="A901153" s="15" t="s">
        <v>90</v>
      </c>
    </row>
    <row r="901154" spans="1:1" x14ac:dyDescent="0.25">
      <c r="A901154" s="15" t="s">
        <v>185</v>
      </c>
    </row>
    <row r="901155" spans="1:1" x14ac:dyDescent="0.25">
      <c r="A901155" s="15" t="s">
        <v>186</v>
      </c>
    </row>
    <row r="901156" spans="1:1" x14ac:dyDescent="0.25">
      <c r="A901156" s="15" t="s">
        <v>187</v>
      </c>
    </row>
    <row r="901157" spans="1:1" x14ac:dyDescent="0.25">
      <c r="A901157" s="15" t="s">
        <v>188</v>
      </c>
    </row>
    <row r="901158" spans="1:1" x14ac:dyDescent="0.25">
      <c r="A901158" s="15" t="s">
        <v>189</v>
      </c>
    </row>
    <row r="901159" spans="1:1" x14ac:dyDescent="0.25">
      <c r="A901159" s="15" t="s">
        <v>190</v>
      </c>
    </row>
    <row r="901160" spans="1:1" x14ac:dyDescent="0.25">
      <c r="A901160" s="15" t="s">
        <v>191</v>
      </c>
    </row>
    <row r="901161" spans="1:1" x14ac:dyDescent="0.25">
      <c r="A901161" s="14" t="s">
        <v>47</v>
      </c>
    </row>
    <row r="901162" spans="1:1" x14ac:dyDescent="0.25">
      <c r="A901162" s="14" t="s">
        <v>119</v>
      </c>
    </row>
    <row r="901163" spans="1:1" x14ac:dyDescent="0.25">
      <c r="A901163" s="14" t="s">
        <v>86</v>
      </c>
    </row>
    <row r="901164" spans="1:1" x14ac:dyDescent="0.25">
      <c r="A901164" s="13" t="s">
        <v>21</v>
      </c>
    </row>
    <row r="901165" spans="1:1" x14ac:dyDescent="0.25">
      <c r="A901165" s="14" t="s">
        <v>92</v>
      </c>
    </row>
    <row r="901166" spans="1:1" x14ac:dyDescent="0.25">
      <c r="A901166" s="14" t="s">
        <v>93</v>
      </c>
    </row>
    <row r="901167" spans="1:1" x14ac:dyDescent="0.25">
      <c r="A901167" s="14" t="s">
        <v>99</v>
      </c>
    </row>
    <row r="901168" spans="1:1" x14ac:dyDescent="0.25">
      <c r="A901168" s="14" t="s">
        <v>100</v>
      </c>
    </row>
    <row r="901169" spans="1:1" x14ac:dyDescent="0.25">
      <c r="A901169" s="13" t="s">
        <v>24</v>
      </c>
    </row>
    <row r="901170" spans="1:1" x14ac:dyDescent="0.25">
      <c r="A901170" s="13" t="s">
        <v>83</v>
      </c>
    </row>
    <row r="901171" spans="1:1" x14ac:dyDescent="0.25">
      <c r="A901171" s="13" t="s">
        <v>106</v>
      </c>
    </row>
    <row r="901172" spans="1:1" x14ac:dyDescent="0.25">
      <c r="A901172" s="13" t="s">
        <v>101</v>
      </c>
    </row>
    <row r="901173" spans="1:1" x14ac:dyDescent="0.25">
      <c r="A901173" s="13" t="s">
        <v>102</v>
      </c>
    </row>
    <row r="901174" spans="1:1" x14ac:dyDescent="0.25">
      <c r="A901174" s="13" t="s">
        <v>103</v>
      </c>
    </row>
    <row r="901175" spans="1:1" x14ac:dyDescent="0.25">
      <c r="A901175" s="13" t="s">
        <v>104</v>
      </c>
    </row>
    <row r="901176" spans="1:1" x14ac:dyDescent="0.25">
      <c r="A901176" s="13" t="s">
        <v>105</v>
      </c>
    </row>
    <row r="917506" spans="1:1" x14ac:dyDescent="0.25">
      <c r="A917506" s="13" t="s">
        <v>0</v>
      </c>
    </row>
    <row r="917507" spans="1:1" x14ac:dyDescent="0.25">
      <c r="A917507" s="13" t="s">
        <v>125</v>
      </c>
    </row>
    <row r="917508" spans="1:1" x14ac:dyDescent="0.25">
      <c r="A917508" s="13" t="s">
        <v>1</v>
      </c>
    </row>
    <row r="917509" spans="1:1" x14ac:dyDescent="0.25">
      <c r="A917509" s="13" t="s">
        <v>2</v>
      </c>
    </row>
    <row r="917510" spans="1:1" x14ac:dyDescent="0.25">
      <c r="A917510" s="14" t="s">
        <v>25</v>
      </c>
    </row>
    <row r="917511" spans="1:1" x14ac:dyDescent="0.25">
      <c r="A917511" s="13" t="s">
        <v>126</v>
      </c>
    </row>
    <row r="917512" spans="1:1" x14ac:dyDescent="0.25">
      <c r="A917512" s="13" t="s">
        <v>127</v>
      </c>
    </row>
    <row r="917513" spans="1:1" x14ac:dyDescent="0.25">
      <c r="A917513" s="13" t="s">
        <v>88</v>
      </c>
    </row>
    <row r="917514" spans="1:1" x14ac:dyDescent="0.25">
      <c r="A917514" s="13" t="s">
        <v>22</v>
      </c>
    </row>
    <row r="917515" spans="1:1" x14ac:dyDescent="0.25">
      <c r="A917515" s="13" t="s">
        <v>3</v>
      </c>
    </row>
    <row r="917516" spans="1:1" x14ac:dyDescent="0.25">
      <c r="A917516" s="15" t="s">
        <v>95</v>
      </c>
    </row>
    <row r="917517" spans="1:1" x14ac:dyDescent="0.25">
      <c r="A917517" s="15" t="s">
        <v>94</v>
      </c>
    </row>
    <row r="917518" spans="1:1" x14ac:dyDescent="0.25">
      <c r="A917518" s="15" t="s">
        <v>4</v>
      </c>
    </row>
    <row r="917519" spans="1:1" x14ac:dyDescent="0.25">
      <c r="A917519" s="15" t="s">
        <v>118</v>
      </c>
    </row>
    <row r="917520" spans="1:1" x14ac:dyDescent="0.25">
      <c r="A917520" s="15" t="s">
        <v>5</v>
      </c>
    </row>
    <row r="917521" spans="1:1" x14ac:dyDescent="0.25">
      <c r="A917521" s="15" t="s">
        <v>6</v>
      </c>
    </row>
    <row r="917522" spans="1:1" x14ac:dyDescent="0.25">
      <c r="A917522" s="15" t="s">
        <v>7</v>
      </c>
    </row>
    <row r="917523" spans="1:1" x14ac:dyDescent="0.25">
      <c r="A917523" s="15" t="s">
        <v>8</v>
      </c>
    </row>
    <row r="917524" spans="1:1" x14ac:dyDescent="0.25">
      <c r="A917524" s="15" t="s">
        <v>9</v>
      </c>
    </row>
    <row r="917525" spans="1:1" x14ac:dyDescent="0.25">
      <c r="A917525" s="15" t="s">
        <v>10</v>
      </c>
    </row>
    <row r="917526" spans="1:1" x14ac:dyDescent="0.25">
      <c r="A917526" s="15" t="s">
        <v>11</v>
      </c>
    </row>
    <row r="917527" spans="1:1" x14ac:dyDescent="0.25">
      <c r="A917527" s="15" t="s">
        <v>12</v>
      </c>
    </row>
    <row r="917528" spans="1:1" x14ac:dyDescent="0.25">
      <c r="A917528" s="15" t="s">
        <v>13</v>
      </c>
    </row>
    <row r="917529" spans="1:1" x14ac:dyDescent="0.25">
      <c r="A917529" s="15" t="s">
        <v>14</v>
      </c>
    </row>
    <row r="917530" spans="1:1" x14ac:dyDescent="0.25">
      <c r="A917530" s="13" t="s">
        <v>31</v>
      </c>
    </row>
    <row r="917531" spans="1:1" x14ac:dyDescent="0.25">
      <c r="A917531" s="13" t="s">
        <v>87</v>
      </c>
    </row>
    <row r="917532" spans="1:1" x14ac:dyDescent="0.25">
      <c r="A917532" s="15" t="s">
        <v>30</v>
      </c>
    </row>
    <row r="917533" spans="1:1" x14ac:dyDescent="0.25">
      <c r="A917533" s="15" t="s">
        <v>26</v>
      </c>
    </row>
    <row r="917534" spans="1:1" x14ac:dyDescent="0.25">
      <c r="A917534" s="15" t="s">
        <v>27</v>
      </c>
    </row>
    <row r="917535" spans="1:1" x14ac:dyDescent="0.25">
      <c r="A917535" s="15" t="s">
        <v>28</v>
      </c>
    </row>
    <row r="917536" spans="1:1" x14ac:dyDescent="0.25">
      <c r="A917536" s="15" t="s">
        <v>89</v>
      </c>
    </row>
    <row r="917537" spans="1:1" x14ac:dyDescent="0.25">
      <c r="A917537" s="15" t="s">
        <v>90</v>
      </c>
    </row>
    <row r="917538" spans="1:1" x14ac:dyDescent="0.25">
      <c r="A917538" s="15" t="s">
        <v>185</v>
      </c>
    </row>
    <row r="917539" spans="1:1" x14ac:dyDescent="0.25">
      <c r="A917539" s="15" t="s">
        <v>186</v>
      </c>
    </row>
    <row r="917540" spans="1:1" x14ac:dyDescent="0.25">
      <c r="A917540" s="15" t="s">
        <v>187</v>
      </c>
    </row>
    <row r="917541" spans="1:1" x14ac:dyDescent="0.25">
      <c r="A917541" s="15" t="s">
        <v>188</v>
      </c>
    </row>
    <row r="917542" spans="1:1" x14ac:dyDescent="0.25">
      <c r="A917542" s="15" t="s">
        <v>189</v>
      </c>
    </row>
    <row r="917543" spans="1:1" x14ac:dyDescent="0.25">
      <c r="A917543" s="15" t="s">
        <v>190</v>
      </c>
    </row>
    <row r="917544" spans="1:1" x14ac:dyDescent="0.25">
      <c r="A917544" s="15" t="s">
        <v>191</v>
      </c>
    </row>
    <row r="917545" spans="1:1" x14ac:dyDescent="0.25">
      <c r="A917545" s="14" t="s">
        <v>47</v>
      </c>
    </row>
    <row r="917546" spans="1:1" x14ac:dyDescent="0.25">
      <c r="A917546" s="14" t="s">
        <v>119</v>
      </c>
    </row>
    <row r="917547" spans="1:1" x14ac:dyDescent="0.25">
      <c r="A917547" s="14" t="s">
        <v>86</v>
      </c>
    </row>
    <row r="917548" spans="1:1" x14ac:dyDescent="0.25">
      <c r="A917548" s="13" t="s">
        <v>21</v>
      </c>
    </row>
    <row r="917549" spans="1:1" x14ac:dyDescent="0.25">
      <c r="A917549" s="14" t="s">
        <v>92</v>
      </c>
    </row>
    <row r="917550" spans="1:1" x14ac:dyDescent="0.25">
      <c r="A917550" s="14" t="s">
        <v>93</v>
      </c>
    </row>
    <row r="917551" spans="1:1" x14ac:dyDescent="0.25">
      <c r="A917551" s="14" t="s">
        <v>99</v>
      </c>
    </row>
    <row r="917552" spans="1:1" x14ac:dyDescent="0.25">
      <c r="A917552" s="14" t="s">
        <v>100</v>
      </c>
    </row>
    <row r="917553" spans="1:1" x14ac:dyDescent="0.25">
      <c r="A917553" s="13" t="s">
        <v>24</v>
      </c>
    </row>
    <row r="917554" spans="1:1" x14ac:dyDescent="0.25">
      <c r="A917554" s="13" t="s">
        <v>83</v>
      </c>
    </row>
    <row r="917555" spans="1:1" x14ac:dyDescent="0.25">
      <c r="A917555" s="13" t="s">
        <v>106</v>
      </c>
    </row>
    <row r="917556" spans="1:1" x14ac:dyDescent="0.25">
      <c r="A917556" s="13" t="s">
        <v>101</v>
      </c>
    </row>
    <row r="917557" spans="1:1" x14ac:dyDescent="0.25">
      <c r="A917557" s="13" t="s">
        <v>102</v>
      </c>
    </row>
    <row r="917558" spans="1:1" x14ac:dyDescent="0.25">
      <c r="A917558" s="13" t="s">
        <v>103</v>
      </c>
    </row>
    <row r="917559" spans="1:1" x14ac:dyDescent="0.25">
      <c r="A917559" s="13" t="s">
        <v>104</v>
      </c>
    </row>
    <row r="917560" spans="1:1" x14ac:dyDescent="0.25">
      <c r="A917560" s="13" t="s">
        <v>105</v>
      </c>
    </row>
    <row r="933890" spans="1:1" x14ac:dyDescent="0.25">
      <c r="A933890" s="13" t="s">
        <v>0</v>
      </c>
    </row>
    <row r="933891" spans="1:1" x14ac:dyDescent="0.25">
      <c r="A933891" s="13" t="s">
        <v>125</v>
      </c>
    </row>
    <row r="933892" spans="1:1" x14ac:dyDescent="0.25">
      <c r="A933892" s="13" t="s">
        <v>1</v>
      </c>
    </row>
    <row r="933893" spans="1:1" x14ac:dyDescent="0.25">
      <c r="A933893" s="13" t="s">
        <v>2</v>
      </c>
    </row>
    <row r="933894" spans="1:1" x14ac:dyDescent="0.25">
      <c r="A933894" s="14" t="s">
        <v>25</v>
      </c>
    </row>
    <row r="933895" spans="1:1" x14ac:dyDescent="0.25">
      <c r="A933895" s="13" t="s">
        <v>126</v>
      </c>
    </row>
    <row r="933896" spans="1:1" x14ac:dyDescent="0.25">
      <c r="A933896" s="13" t="s">
        <v>127</v>
      </c>
    </row>
    <row r="933897" spans="1:1" x14ac:dyDescent="0.25">
      <c r="A933897" s="13" t="s">
        <v>88</v>
      </c>
    </row>
    <row r="933898" spans="1:1" x14ac:dyDescent="0.25">
      <c r="A933898" s="13" t="s">
        <v>22</v>
      </c>
    </row>
    <row r="933899" spans="1:1" x14ac:dyDescent="0.25">
      <c r="A933899" s="13" t="s">
        <v>3</v>
      </c>
    </row>
    <row r="933900" spans="1:1" x14ac:dyDescent="0.25">
      <c r="A933900" s="15" t="s">
        <v>95</v>
      </c>
    </row>
    <row r="933901" spans="1:1" x14ac:dyDescent="0.25">
      <c r="A933901" s="15" t="s">
        <v>94</v>
      </c>
    </row>
    <row r="933902" spans="1:1" x14ac:dyDescent="0.25">
      <c r="A933902" s="15" t="s">
        <v>4</v>
      </c>
    </row>
    <row r="933903" spans="1:1" x14ac:dyDescent="0.25">
      <c r="A933903" s="15" t="s">
        <v>118</v>
      </c>
    </row>
    <row r="933904" spans="1:1" x14ac:dyDescent="0.25">
      <c r="A933904" s="15" t="s">
        <v>5</v>
      </c>
    </row>
    <row r="933905" spans="1:1" x14ac:dyDescent="0.25">
      <c r="A933905" s="15" t="s">
        <v>6</v>
      </c>
    </row>
    <row r="933906" spans="1:1" x14ac:dyDescent="0.25">
      <c r="A933906" s="15" t="s">
        <v>7</v>
      </c>
    </row>
    <row r="933907" spans="1:1" x14ac:dyDescent="0.25">
      <c r="A933907" s="15" t="s">
        <v>8</v>
      </c>
    </row>
    <row r="933908" spans="1:1" x14ac:dyDescent="0.25">
      <c r="A933908" s="15" t="s">
        <v>9</v>
      </c>
    </row>
    <row r="933909" spans="1:1" x14ac:dyDescent="0.25">
      <c r="A933909" s="15" t="s">
        <v>10</v>
      </c>
    </row>
    <row r="933910" spans="1:1" x14ac:dyDescent="0.25">
      <c r="A933910" s="15" t="s">
        <v>11</v>
      </c>
    </row>
    <row r="933911" spans="1:1" x14ac:dyDescent="0.25">
      <c r="A933911" s="15" t="s">
        <v>12</v>
      </c>
    </row>
    <row r="933912" spans="1:1" x14ac:dyDescent="0.25">
      <c r="A933912" s="15" t="s">
        <v>13</v>
      </c>
    </row>
    <row r="933913" spans="1:1" x14ac:dyDescent="0.25">
      <c r="A933913" s="15" t="s">
        <v>14</v>
      </c>
    </row>
    <row r="933914" spans="1:1" x14ac:dyDescent="0.25">
      <c r="A933914" s="13" t="s">
        <v>31</v>
      </c>
    </row>
    <row r="933915" spans="1:1" x14ac:dyDescent="0.25">
      <c r="A933915" s="13" t="s">
        <v>87</v>
      </c>
    </row>
    <row r="933916" spans="1:1" x14ac:dyDescent="0.25">
      <c r="A933916" s="15" t="s">
        <v>30</v>
      </c>
    </row>
    <row r="933917" spans="1:1" x14ac:dyDescent="0.25">
      <c r="A933917" s="15" t="s">
        <v>26</v>
      </c>
    </row>
    <row r="933918" spans="1:1" x14ac:dyDescent="0.25">
      <c r="A933918" s="15" t="s">
        <v>27</v>
      </c>
    </row>
    <row r="933919" spans="1:1" x14ac:dyDescent="0.25">
      <c r="A933919" s="15" t="s">
        <v>28</v>
      </c>
    </row>
    <row r="933920" spans="1:1" x14ac:dyDescent="0.25">
      <c r="A933920" s="15" t="s">
        <v>89</v>
      </c>
    </row>
    <row r="933921" spans="1:1" x14ac:dyDescent="0.25">
      <c r="A933921" s="15" t="s">
        <v>90</v>
      </c>
    </row>
    <row r="933922" spans="1:1" x14ac:dyDescent="0.25">
      <c r="A933922" s="15" t="s">
        <v>185</v>
      </c>
    </row>
    <row r="933923" spans="1:1" x14ac:dyDescent="0.25">
      <c r="A933923" s="15" t="s">
        <v>186</v>
      </c>
    </row>
    <row r="933924" spans="1:1" x14ac:dyDescent="0.25">
      <c r="A933924" s="15" t="s">
        <v>187</v>
      </c>
    </row>
    <row r="933925" spans="1:1" x14ac:dyDescent="0.25">
      <c r="A933925" s="15" t="s">
        <v>188</v>
      </c>
    </row>
    <row r="933926" spans="1:1" x14ac:dyDescent="0.25">
      <c r="A933926" s="15" t="s">
        <v>189</v>
      </c>
    </row>
    <row r="933927" spans="1:1" x14ac:dyDescent="0.25">
      <c r="A933927" s="15" t="s">
        <v>190</v>
      </c>
    </row>
    <row r="933928" spans="1:1" x14ac:dyDescent="0.25">
      <c r="A933928" s="15" t="s">
        <v>191</v>
      </c>
    </row>
    <row r="933929" spans="1:1" x14ac:dyDescent="0.25">
      <c r="A933929" s="14" t="s">
        <v>47</v>
      </c>
    </row>
    <row r="933930" spans="1:1" x14ac:dyDescent="0.25">
      <c r="A933930" s="14" t="s">
        <v>119</v>
      </c>
    </row>
    <row r="933931" spans="1:1" x14ac:dyDescent="0.25">
      <c r="A933931" s="14" t="s">
        <v>86</v>
      </c>
    </row>
    <row r="933932" spans="1:1" x14ac:dyDescent="0.25">
      <c r="A933932" s="13" t="s">
        <v>21</v>
      </c>
    </row>
    <row r="933933" spans="1:1" x14ac:dyDescent="0.25">
      <c r="A933933" s="14" t="s">
        <v>92</v>
      </c>
    </row>
    <row r="933934" spans="1:1" x14ac:dyDescent="0.25">
      <c r="A933934" s="14" t="s">
        <v>93</v>
      </c>
    </row>
    <row r="933935" spans="1:1" x14ac:dyDescent="0.25">
      <c r="A933935" s="14" t="s">
        <v>99</v>
      </c>
    </row>
    <row r="933936" spans="1:1" x14ac:dyDescent="0.25">
      <c r="A933936" s="14" t="s">
        <v>100</v>
      </c>
    </row>
    <row r="933937" spans="1:1" x14ac:dyDescent="0.25">
      <c r="A933937" s="13" t="s">
        <v>24</v>
      </c>
    </row>
    <row r="933938" spans="1:1" x14ac:dyDescent="0.25">
      <c r="A933938" s="13" t="s">
        <v>83</v>
      </c>
    </row>
    <row r="933939" spans="1:1" x14ac:dyDescent="0.25">
      <c r="A933939" s="13" t="s">
        <v>106</v>
      </c>
    </row>
    <row r="933940" spans="1:1" x14ac:dyDescent="0.25">
      <c r="A933940" s="13" t="s">
        <v>101</v>
      </c>
    </row>
    <row r="933941" spans="1:1" x14ac:dyDescent="0.25">
      <c r="A933941" s="13" t="s">
        <v>102</v>
      </c>
    </row>
    <row r="933942" spans="1:1" x14ac:dyDescent="0.25">
      <c r="A933942" s="13" t="s">
        <v>103</v>
      </c>
    </row>
    <row r="933943" spans="1:1" x14ac:dyDescent="0.25">
      <c r="A933943" s="13" t="s">
        <v>104</v>
      </c>
    </row>
    <row r="933944" spans="1:1" x14ac:dyDescent="0.25">
      <c r="A933944" s="13" t="s">
        <v>105</v>
      </c>
    </row>
    <row r="950274" spans="1:1" x14ac:dyDescent="0.25">
      <c r="A950274" s="13" t="s">
        <v>0</v>
      </c>
    </row>
    <row r="950275" spans="1:1" x14ac:dyDescent="0.25">
      <c r="A950275" s="13" t="s">
        <v>125</v>
      </c>
    </row>
    <row r="950276" spans="1:1" x14ac:dyDescent="0.25">
      <c r="A950276" s="13" t="s">
        <v>1</v>
      </c>
    </row>
    <row r="950277" spans="1:1" x14ac:dyDescent="0.25">
      <c r="A950277" s="13" t="s">
        <v>2</v>
      </c>
    </row>
    <row r="950278" spans="1:1" x14ac:dyDescent="0.25">
      <c r="A950278" s="14" t="s">
        <v>25</v>
      </c>
    </row>
    <row r="950279" spans="1:1" x14ac:dyDescent="0.25">
      <c r="A950279" s="13" t="s">
        <v>126</v>
      </c>
    </row>
    <row r="950280" spans="1:1" x14ac:dyDescent="0.25">
      <c r="A950280" s="13" t="s">
        <v>127</v>
      </c>
    </row>
    <row r="950281" spans="1:1" x14ac:dyDescent="0.25">
      <c r="A950281" s="13" t="s">
        <v>88</v>
      </c>
    </row>
    <row r="950282" spans="1:1" x14ac:dyDescent="0.25">
      <c r="A950282" s="13" t="s">
        <v>22</v>
      </c>
    </row>
    <row r="950283" spans="1:1" x14ac:dyDescent="0.25">
      <c r="A950283" s="13" t="s">
        <v>3</v>
      </c>
    </row>
    <row r="950284" spans="1:1" x14ac:dyDescent="0.25">
      <c r="A950284" s="15" t="s">
        <v>95</v>
      </c>
    </row>
    <row r="950285" spans="1:1" x14ac:dyDescent="0.25">
      <c r="A950285" s="15" t="s">
        <v>94</v>
      </c>
    </row>
    <row r="950286" spans="1:1" x14ac:dyDescent="0.25">
      <c r="A950286" s="15" t="s">
        <v>4</v>
      </c>
    </row>
    <row r="950287" spans="1:1" x14ac:dyDescent="0.25">
      <c r="A950287" s="15" t="s">
        <v>118</v>
      </c>
    </row>
    <row r="950288" spans="1:1" x14ac:dyDescent="0.25">
      <c r="A950288" s="15" t="s">
        <v>5</v>
      </c>
    </row>
    <row r="950289" spans="1:1" x14ac:dyDescent="0.25">
      <c r="A950289" s="15" t="s">
        <v>6</v>
      </c>
    </row>
    <row r="950290" spans="1:1" x14ac:dyDescent="0.25">
      <c r="A950290" s="15" t="s">
        <v>7</v>
      </c>
    </row>
    <row r="950291" spans="1:1" x14ac:dyDescent="0.25">
      <c r="A950291" s="15" t="s">
        <v>8</v>
      </c>
    </row>
    <row r="950292" spans="1:1" x14ac:dyDescent="0.25">
      <c r="A950292" s="15" t="s">
        <v>9</v>
      </c>
    </row>
    <row r="950293" spans="1:1" x14ac:dyDescent="0.25">
      <c r="A950293" s="15" t="s">
        <v>10</v>
      </c>
    </row>
    <row r="950294" spans="1:1" x14ac:dyDescent="0.25">
      <c r="A950294" s="15" t="s">
        <v>11</v>
      </c>
    </row>
    <row r="950295" spans="1:1" x14ac:dyDescent="0.25">
      <c r="A950295" s="15" t="s">
        <v>12</v>
      </c>
    </row>
    <row r="950296" spans="1:1" x14ac:dyDescent="0.25">
      <c r="A950296" s="15" t="s">
        <v>13</v>
      </c>
    </row>
    <row r="950297" spans="1:1" x14ac:dyDescent="0.25">
      <c r="A950297" s="15" t="s">
        <v>14</v>
      </c>
    </row>
    <row r="950298" spans="1:1" x14ac:dyDescent="0.25">
      <c r="A950298" s="13" t="s">
        <v>31</v>
      </c>
    </row>
    <row r="950299" spans="1:1" x14ac:dyDescent="0.25">
      <c r="A950299" s="13" t="s">
        <v>87</v>
      </c>
    </row>
    <row r="950300" spans="1:1" x14ac:dyDescent="0.25">
      <c r="A950300" s="15" t="s">
        <v>30</v>
      </c>
    </row>
    <row r="950301" spans="1:1" x14ac:dyDescent="0.25">
      <c r="A950301" s="15" t="s">
        <v>26</v>
      </c>
    </row>
    <row r="950302" spans="1:1" x14ac:dyDescent="0.25">
      <c r="A950302" s="15" t="s">
        <v>27</v>
      </c>
    </row>
    <row r="950303" spans="1:1" x14ac:dyDescent="0.25">
      <c r="A950303" s="15" t="s">
        <v>28</v>
      </c>
    </row>
    <row r="950304" spans="1:1" x14ac:dyDescent="0.25">
      <c r="A950304" s="15" t="s">
        <v>89</v>
      </c>
    </row>
    <row r="950305" spans="1:1" x14ac:dyDescent="0.25">
      <c r="A950305" s="15" t="s">
        <v>90</v>
      </c>
    </row>
    <row r="950306" spans="1:1" x14ac:dyDescent="0.25">
      <c r="A950306" s="15" t="s">
        <v>185</v>
      </c>
    </row>
    <row r="950307" spans="1:1" x14ac:dyDescent="0.25">
      <c r="A950307" s="15" t="s">
        <v>186</v>
      </c>
    </row>
    <row r="950308" spans="1:1" x14ac:dyDescent="0.25">
      <c r="A950308" s="15" t="s">
        <v>187</v>
      </c>
    </row>
    <row r="950309" spans="1:1" x14ac:dyDescent="0.25">
      <c r="A950309" s="15" t="s">
        <v>188</v>
      </c>
    </row>
    <row r="950310" spans="1:1" x14ac:dyDescent="0.25">
      <c r="A950310" s="15" t="s">
        <v>189</v>
      </c>
    </row>
    <row r="950311" spans="1:1" x14ac:dyDescent="0.25">
      <c r="A950311" s="15" t="s">
        <v>190</v>
      </c>
    </row>
    <row r="950312" spans="1:1" x14ac:dyDescent="0.25">
      <c r="A950312" s="15" t="s">
        <v>191</v>
      </c>
    </row>
    <row r="950313" spans="1:1" x14ac:dyDescent="0.25">
      <c r="A950313" s="14" t="s">
        <v>47</v>
      </c>
    </row>
    <row r="950314" spans="1:1" x14ac:dyDescent="0.25">
      <c r="A950314" s="14" t="s">
        <v>119</v>
      </c>
    </row>
    <row r="950315" spans="1:1" x14ac:dyDescent="0.25">
      <c r="A950315" s="14" t="s">
        <v>86</v>
      </c>
    </row>
    <row r="950316" spans="1:1" x14ac:dyDescent="0.25">
      <c r="A950316" s="13" t="s">
        <v>21</v>
      </c>
    </row>
    <row r="950317" spans="1:1" x14ac:dyDescent="0.25">
      <c r="A950317" s="14" t="s">
        <v>92</v>
      </c>
    </row>
    <row r="950318" spans="1:1" x14ac:dyDescent="0.25">
      <c r="A950318" s="14" t="s">
        <v>93</v>
      </c>
    </row>
    <row r="950319" spans="1:1" x14ac:dyDescent="0.25">
      <c r="A950319" s="14" t="s">
        <v>99</v>
      </c>
    </row>
    <row r="950320" spans="1:1" x14ac:dyDescent="0.25">
      <c r="A950320" s="14" t="s">
        <v>100</v>
      </c>
    </row>
    <row r="950321" spans="1:1" x14ac:dyDescent="0.25">
      <c r="A950321" s="13" t="s">
        <v>24</v>
      </c>
    </row>
    <row r="950322" spans="1:1" x14ac:dyDescent="0.25">
      <c r="A950322" s="13" t="s">
        <v>83</v>
      </c>
    </row>
    <row r="950323" spans="1:1" x14ac:dyDescent="0.25">
      <c r="A950323" s="13" t="s">
        <v>106</v>
      </c>
    </row>
    <row r="950324" spans="1:1" x14ac:dyDescent="0.25">
      <c r="A950324" s="13" t="s">
        <v>101</v>
      </c>
    </row>
    <row r="950325" spans="1:1" x14ac:dyDescent="0.25">
      <c r="A950325" s="13" t="s">
        <v>102</v>
      </c>
    </row>
    <row r="950326" spans="1:1" x14ac:dyDescent="0.25">
      <c r="A950326" s="13" t="s">
        <v>103</v>
      </c>
    </row>
    <row r="950327" spans="1:1" x14ac:dyDescent="0.25">
      <c r="A950327" s="13" t="s">
        <v>104</v>
      </c>
    </row>
    <row r="950328" spans="1:1" x14ac:dyDescent="0.25">
      <c r="A950328" s="13" t="s">
        <v>105</v>
      </c>
    </row>
    <row r="966658" spans="1:1" x14ac:dyDescent="0.25">
      <c r="A966658" s="13" t="s">
        <v>0</v>
      </c>
    </row>
    <row r="966659" spans="1:1" x14ac:dyDescent="0.25">
      <c r="A966659" s="13" t="s">
        <v>125</v>
      </c>
    </row>
    <row r="966660" spans="1:1" x14ac:dyDescent="0.25">
      <c r="A966660" s="13" t="s">
        <v>1</v>
      </c>
    </row>
    <row r="966661" spans="1:1" x14ac:dyDescent="0.25">
      <c r="A966661" s="13" t="s">
        <v>2</v>
      </c>
    </row>
    <row r="966662" spans="1:1" x14ac:dyDescent="0.25">
      <c r="A966662" s="14" t="s">
        <v>25</v>
      </c>
    </row>
    <row r="966663" spans="1:1" x14ac:dyDescent="0.25">
      <c r="A966663" s="13" t="s">
        <v>126</v>
      </c>
    </row>
    <row r="966664" spans="1:1" x14ac:dyDescent="0.25">
      <c r="A966664" s="13" t="s">
        <v>127</v>
      </c>
    </row>
    <row r="966665" spans="1:1" x14ac:dyDescent="0.25">
      <c r="A966665" s="13" t="s">
        <v>88</v>
      </c>
    </row>
    <row r="966666" spans="1:1" x14ac:dyDescent="0.25">
      <c r="A966666" s="13" t="s">
        <v>22</v>
      </c>
    </row>
    <row r="966667" spans="1:1" x14ac:dyDescent="0.25">
      <c r="A966667" s="13" t="s">
        <v>3</v>
      </c>
    </row>
    <row r="966668" spans="1:1" x14ac:dyDescent="0.25">
      <c r="A966668" s="15" t="s">
        <v>95</v>
      </c>
    </row>
    <row r="966669" spans="1:1" x14ac:dyDescent="0.25">
      <c r="A966669" s="15" t="s">
        <v>94</v>
      </c>
    </row>
    <row r="966670" spans="1:1" x14ac:dyDescent="0.25">
      <c r="A966670" s="15" t="s">
        <v>4</v>
      </c>
    </row>
    <row r="966671" spans="1:1" x14ac:dyDescent="0.25">
      <c r="A966671" s="15" t="s">
        <v>118</v>
      </c>
    </row>
    <row r="966672" spans="1:1" x14ac:dyDescent="0.25">
      <c r="A966672" s="15" t="s">
        <v>5</v>
      </c>
    </row>
    <row r="966673" spans="1:1" x14ac:dyDescent="0.25">
      <c r="A966673" s="15" t="s">
        <v>6</v>
      </c>
    </row>
    <row r="966674" spans="1:1" x14ac:dyDescent="0.25">
      <c r="A966674" s="15" t="s">
        <v>7</v>
      </c>
    </row>
    <row r="966675" spans="1:1" x14ac:dyDescent="0.25">
      <c r="A966675" s="15" t="s">
        <v>8</v>
      </c>
    </row>
    <row r="966676" spans="1:1" x14ac:dyDescent="0.25">
      <c r="A966676" s="15" t="s">
        <v>9</v>
      </c>
    </row>
    <row r="966677" spans="1:1" x14ac:dyDescent="0.25">
      <c r="A966677" s="15" t="s">
        <v>10</v>
      </c>
    </row>
    <row r="966678" spans="1:1" x14ac:dyDescent="0.25">
      <c r="A966678" s="15" t="s">
        <v>11</v>
      </c>
    </row>
    <row r="966679" spans="1:1" x14ac:dyDescent="0.25">
      <c r="A966679" s="15" t="s">
        <v>12</v>
      </c>
    </row>
    <row r="966680" spans="1:1" x14ac:dyDescent="0.25">
      <c r="A966680" s="15" t="s">
        <v>13</v>
      </c>
    </row>
    <row r="966681" spans="1:1" x14ac:dyDescent="0.25">
      <c r="A966681" s="15" t="s">
        <v>14</v>
      </c>
    </row>
    <row r="966682" spans="1:1" x14ac:dyDescent="0.25">
      <c r="A966682" s="13" t="s">
        <v>31</v>
      </c>
    </row>
    <row r="966683" spans="1:1" x14ac:dyDescent="0.25">
      <c r="A966683" s="13" t="s">
        <v>87</v>
      </c>
    </row>
    <row r="966684" spans="1:1" x14ac:dyDescent="0.25">
      <c r="A966684" s="15" t="s">
        <v>30</v>
      </c>
    </row>
    <row r="966685" spans="1:1" x14ac:dyDescent="0.25">
      <c r="A966685" s="15" t="s">
        <v>26</v>
      </c>
    </row>
    <row r="966686" spans="1:1" x14ac:dyDescent="0.25">
      <c r="A966686" s="15" t="s">
        <v>27</v>
      </c>
    </row>
    <row r="966687" spans="1:1" x14ac:dyDescent="0.25">
      <c r="A966687" s="15" t="s">
        <v>28</v>
      </c>
    </row>
    <row r="966688" spans="1:1" x14ac:dyDescent="0.25">
      <c r="A966688" s="15" t="s">
        <v>89</v>
      </c>
    </row>
    <row r="966689" spans="1:1" x14ac:dyDescent="0.25">
      <c r="A966689" s="15" t="s">
        <v>90</v>
      </c>
    </row>
    <row r="966690" spans="1:1" x14ac:dyDescent="0.25">
      <c r="A966690" s="15" t="s">
        <v>185</v>
      </c>
    </row>
    <row r="966691" spans="1:1" x14ac:dyDescent="0.25">
      <c r="A966691" s="15" t="s">
        <v>186</v>
      </c>
    </row>
    <row r="966692" spans="1:1" x14ac:dyDescent="0.25">
      <c r="A966692" s="15" t="s">
        <v>187</v>
      </c>
    </row>
    <row r="966693" spans="1:1" x14ac:dyDescent="0.25">
      <c r="A966693" s="15" t="s">
        <v>188</v>
      </c>
    </row>
    <row r="966694" spans="1:1" x14ac:dyDescent="0.25">
      <c r="A966694" s="15" t="s">
        <v>189</v>
      </c>
    </row>
    <row r="966695" spans="1:1" x14ac:dyDescent="0.25">
      <c r="A966695" s="15" t="s">
        <v>190</v>
      </c>
    </row>
    <row r="966696" spans="1:1" x14ac:dyDescent="0.25">
      <c r="A966696" s="15" t="s">
        <v>191</v>
      </c>
    </row>
    <row r="966697" spans="1:1" x14ac:dyDescent="0.25">
      <c r="A966697" s="14" t="s">
        <v>47</v>
      </c>
    </row>
    <row r="966698" spans="1:1" x14ac:dyDescent="0.25">
      <c r="A966698" s="14" t="s">
        <v>119</v>
      </c>
    </row>
    <row r="966699" spans="1:1" x14ac:dyDescent="0.25">
      <c r="A966699" s="14" t="s">
        <v>86</v>
      </c>
    </row>
    <row r="966700" spans="1:1" x14ac:dyDescent="0.25">
      <c r="A966700" s="13" t="s">
        <v>21</v>
      </c>
    </row>
    <row r="966701" spans="1:1" x14ac:dyDescent="0.25">
      <c r="A966701" s="14" t="s">
        <v>92</v>
      </c>
    </row>
    <row r="966702" spans="1:1" x14ac:dyDescent="0.25">
      <c r="A966702" s="14" t="s">
        <v>93</v>
      </c>
    </row>
    <row r="966703" spans="1:1" x14ac:dyDescent="0.25">
      <c r="A966703" s="14" t="s">
        <v>99</v>
      </c>
    </row>
    <row r="966704" spans="1:1" x14ac:dyDescent="0.25">
      <c r="A966704" s="14" t="s">
        <v>100</v>
      </c>
    </row>
    <row r="966705" spans="1:1" x14ac:dyDescent="0.25">
      <c r="A966705" s="13" t="s">
        <v>24</v>
      </c>
    </row>
    <row r="966706" spans="1:1" x14ac:dyDescent="0.25">
      <c r="A966706" s="13" t="s">
        <v>83</v>
      </c>
    </row>
    <row r="966707" spans="1:1" x14ac:dyDescent="0.25">
      <c r="A966707" s="13" t="s">
        <v>106</v>
      </c>
    </row>
    <row r="966708" spans="1:1" x14ac:dyDescent="0.25">
      <c r="A966708" s="13" t="s">
        <v>101</v>
      </c>
    </row>
    <row r="966709" spans="1:1" x14ac:dyDescent="0.25">
      <c r="A966709" s="13" t="s">
        <v>102</v>
      </c>
    </row>
    <row r="966710" spans="1:1" x14ac:dyDescent="0.25">
      <c r="A966710" s="13" t="s">
        <v>103</v>
      </c>
    </row>
    <row r="966711" spans="1:1" x14ac:dyDescent="0.25">
      <c r="A966711" s="13" t="s">
        <v>104</v>
      </c>
    </row>
    <row r="966712" spans="1:1" x14ac:dyDescent="0.25">
      <c r="A966712" s="13" t="s">
        <v>105</v>
      </c>
    </row>
    <row r="983042" spans="1:1" x14ac:dyDescent="0.25">
      <c r="A983042" s="13" t="s">
        <v>0</v>
      </c>
    </row>
    <row r="983043" spans="1:1" x14ac:dyDescent="0.25">
      <c r="A983043" s="13" t="s">
        <v>125</v>
      </c>
    </row>
    <row r="983044" spans="1:1" x14ac:dyDescent="0.25">
      <c r="A983044" s="13" t="s">
        <v>1</v>
      </c>
    </row>
    <row r="983045" spans="1:1" x14ac:dyDescent="0.25">
      <c r="A983045" s="13" t="s">
        <v>2</v>
      </c>
    </row>
    <row r="983046" spans="1:1" x14ac:dyDescent="0.25">
      <c r="A983046" s="14" t="s">
        <v>25</v>
      </c>
    </row>
    <row r="983047" spans="1:1" x14ac:dyDescent="0.25">
      <c r="A983047" s="13" t="s">
        <v>126</v>
      </c>
    </row>
    <row r="983048" spans="1:1" x14ac:dyDescent="0.25">
      <c r="A983048" s="13" t="s">
        <v>127</v>
      </c>
    </row>
    <row r="983049" spans="1:1" x14ac:dyDescent="0.25">
      <c r="A983049" s="13" t="s">
        <v>88</v>
      </c>
    </row>
    <row r="983050" spans="1:1" x14ac:dyDescent="0.25">
      <c r="A983050" s="13" t="s">
        <v>22</v>
      </c>
    </row>
    <row r="983051" spans="1:1" x14ac:dyDescent="0.25">
      <c r="A983051" s="13" t="s">
        <v>3</v>
      </c>
    </row>
    <row r="983052" spans="1:1" x14ac:dyDescent="0.25">
      <c r="A983052" s="15" t="s">
        <v>95</v>
      </c>
    </row>
    <row r="983053" spans="1:1" x14ac:dyDescent="0.25">
      <c r="A983053" s="15" t="s">
        <v>94</v>
      </c>
    </row>
    <row r="983054" spans="1:1" x14ac:dyDescent="0.25">
      <c r="A983054" s="15" t="s">
        <v>4</v>
      </c>
    </row>
    <row r="983055" spans="1:1" x14ac:dyDescent="0.25">
      <c r="A983055" s="15" t="s">
        <v>118</v>
      </c>
    </row>
    <row r="983056" spans="1:1" x14ac:dyDescent="0.25">
      <c r="A983056" s="15" t="s">
        <v>5</v>
      </c>
    </row>
    <row r="983057" spans="1:1" x14ac:dyDescent="0.25">
      <c r="A983057" s="15" t="s">
        <v>6</v>
      </c>
    </row>
    <row r="983058" spans="1:1" x14ac:dyDescent="0.25">
      <c r="A983058" s="15" t="s">
        <v>7</v>
      </c>
    </row>
    <row r="983059" spans="1:1" x14ac:dyDescent="0.25">
      <c r="A983059" s="15" t="s">
        <v>8</v>
      </c>
    </row>
    <row r="983060" spans="1:1" x14ac:dyDescent="0.25">
      <c r="A983060" s="15" t="s">
        <v>9</v>
      </c>
    </row>
    <row r="983061" spans="1:1" x14ac:dyDescent="0.25">
      <c r="A983061" s="15" t="s">
        <v>10</v>
      </c>
    </row>
    <row r="983062" spans="1:1" x14ac:dyDescent="0.25">
      <c r="A983062" s="15" t="s">
        <v>11</v>
      </c>
    </row>
    <row r="983063" spans="1:1" x14ac:dyDescent="0.25">
      <c r="A983063" s="15" t="s">
        <v>12</v>
      </c>
    </row>
    <row r="983064" spans="1:1" x14ac:dyDescent="0.25">
      <c r="A983064" s="15" t="s">
        <v>13</v>
      </c>
    </row>
    <row r="983065" spans="1:1" x14ac:dyDescent="0.25">
      <c r="A983065" s="15" t="s">
        <v>14</v>
      </c>
    </row>
    <row r="983066" spans="1:1" x14ac:dyDescent="0.25">
      <c r="A983066" s="13" t="s">
        <v>31</v>
      </c>
    </row>
    <row r="983067" spans="1:1" x14ac:dyDescent="0.25">
      <c r="A983067" s="13" t="s">
        <v>87</v>
      </c>
    </row>
    <row r="983068" spans="1:1" x14ac:dyDescent="0.25">
      <c r="A983068" s="15" t="s">
        <v>30</v>
      </c>
    </row>
    <row r="983069" spans="1:1" x14ac:dyDescent="0.25">
      <c r="A983069" s="15" t="s">
        <v>26</v>
      </c>
    </row>
    <row r="983070" spans="1:1" x14ac:dyDescent="0.25">
      <c r="A983070" s="15" t="s">
        <v>27</v>
      </c>
    </row>
    <row r="983071" spans="1:1" x14ac:dyDescent="0.25">
      <c r="A983071" s="15" t="s">
        <v>28</v>
      </c>
    </row>
    <row r="983072" spans="1:1" x14ac:dyDescent="0.25">
      <c r="A983072" s="15" t="s">
        <v>89</v>
      </c>
    </row>
    <row r="983073" spans="1:1" x14ac:dyDescent="0.25">
      <c r="A983073" s="15" t="s">
        <v>90</v>
      </c>
    </row>
    <row r="983074" spans="1:1" x14ac:dyDescent="0.25">
      <c r="A983074" s="15" t="s">
        <v>185</v>
      </c>
    </row>
    <row r="983075" spans="1:1" x14ac:dyDescent="0.25">
      <c r="A983075" s="15" t="s">
        <v>186</v>
      </c>
    </row>
    <row r="983076" spans="1:1" x14ac:dyDescent="0.25">
      <c r="A983076" s="15" t="s">
        <v>187</v>
      </c>
    </row>
    <row r="983077" spans="1:1" x14ac:dyDescent="0.25">
      <c r="A983077" s="15" t="s">
        <v>188</v>
      </c>
    </row>
    <row r="983078" spans="1:1" x14ac:dyDescent="0.25">
      <c r="A983078" s="15" t="s">
        <v>189</v>
      </c>
    </row>
    <row r="983079" spans="1:1" x14ac:dyDescent="0.25">
      <c r="A983079" s="15" t="s">
        <v>190</v>
      </c>
    </row>
    <row r="983080" spans="1:1" x14ac:dyDescent="0.25">
      <c r="A983080" s="15" t="s">
        <v>191</v>
      </c>
    </row>
    <row r="983081" spans="1:1" x14ac:dyDescent="0.25">
      <c r="A983081" s="14" t="s">
        <v>47</v>
      </c>
    </row>
    <row r="983082" spans="1:1" x14ac:dyDescent="0.25">
      <c r="A983082" s="14" t="s">
        <v>119</v>
      </c>
    </row>
    <row r="983083" spans="1:1" x14ac:dyDescent="0.25">
      <c r="A983083" s="14" t="s">
        <v>86</v>
      </c>
    </row>
    <row r="983084" spans="1:1" x14ac:dyDescent="0.25">
      <c r="A983084" s="13" t="s">
        <v>21</v>
      </c>
    </row>
    <row r="983085" spans="1:1" x14ac:dyDescent="0.25">
      <c r="A983085" s="14" t="s">
        <v>92</v>
      </c>
    </row>
    <row r="983086" spans="1:1" x14ac:dyDescent="0.25">
      <c r="A983086" s="14" t="s">
        <v>93</v>
      </c>
    </row>
    <row r="983087" spans="1:1" x14ac:dyDescent="0.25">
      <c r="A983087" s="14" t="s">
        <v>99</v>
      </c>
    </row>
    <row r="983088" spans="1:1" x14ac:dyDescent="0.25">
      <c r="A983088" s="14" t="s">
        <v>100</v>
      </c>
    </row>
    <row r="983089" spans="1:1" x14ac:dyDescent="0.25">
      <c r="A983089" s="13" t="s">
        <v>24</v>
      </c>
    </row>
    <row r="983090" spans="1:1" x14ac:dyDescent="0.25">
      <c r="A983090" s="13" t="s">
        <v>83</v>
      </c>
    </row>
    <row r="983091" spans="1:1" x14ac:dyDescent="0.25">
      <c r="A983091" s="13" t="s">
        <v>106</v>
      </c>
    </row>
    <row r="983092" spans="1:1" x14ac:dyDescent="0.25">
      <c r="A983092" s="13" t="s">
        <v>101</v>
      </c>
    </row>
    <row r="983093" spans="1:1" x14ac:dyDescent="0.25">
      <c r="A983093" s="13" t="s">
        <v>102</v>
      </c>
    </row>
    <row r="983094" spans="1:1" x14ac:dyDescent="0.25">
      <c r="A983094" s="13" t="s">
        <v>103</v>
      </c>
    </row>
    <row r="983095" spans="1:1" x14ac:dyDescent="0.25">
      <c r="A983095" s="13" t="s">
        <v>104</v>
      </c>
    </row>
    <row r="983096" spans="1:1" x14ac:dyDescent="0.25">
      <c r="A983096" s="13" t="s">
        <v>105</v>
      </c>
    </row>
    <row r="999426" spans="1:1" x14ac:dyDescent="0.25">
      <c r="A999426" s="13" t="s">
        <v>0</v>
      </c>
    </row>
    <row r="999427" spans="1:1" x14ac:dyDescent="0.25">
      <c r="A999427" s="13" t="s">
        <v>125</v>
      </c>
    </row>
    <row r="999428" spans="1:1" x14ac:dyDescent="0.25">
      <c r="A999428" s="13" t="s">
        <v>1</v>
      </c>
    </row>
    <row r="999429" spans="1:1" x14ac:dyDescent="0.25">
      <c r="A999429" s="13" t="s">
        <v>2</v>
      </c>
    </row>
    <row r="999430" spans="1:1" x14ac:dyDescent="0.25">
      <c r="A999430" s="14" t="s">
        <v>25</v>
      </c>
    </row>
    <row r="999431" spans="1:1" x14ac:dyDescent="0.25">
      <c r="A999431" s="13" t="s">
        <v>126</v>
      </c>
    </row>
    <row r="999432" spans="1:1" x14ac:dyDescent="0.25">
      <c r="A999432" s="13" t="s">
        <v>127</v>
      </c>
    </row>
    <row r="999433" spans="1:1" x14ac:dyDescent="0.25">
      <c r="A999433" s="13" t="s">
        <v>88</v>
      </c>
    </row>
    <row r="999434" spans="1:1" x14ac:dyDescent="0.25">
      <c r="A999434" s="13" t="s">
        <v>22</v>
      </c>
    </row>
    <row r="999435" spans="1:1" x14ac:dyDescent="0.25">
      <c r="A999435" s="13" t="s">
        <v>3</v>
      </c>
    </row>
    <row r="999436" spans="1:1" x14ac:dyDescent="0.25">
      <c r="A999436" s="15" t="s">
        <v>95</v>
      </c>
    </row>
    <row r="999437" spans="1:1" x14ac:dyDescent="0.25">
      <c r="A999437" s="15" t="s">
        <v>94</v>
      </c>
    </row>
    <row r="999438" spans="1:1" x14ac:dyDescent="0.25">
      <c r="A999438" s="15" t="s">
        <v>4</v>
      </c>
    </row>
    <row r="999439" spans="1:1" x14ac:dyDescent="0.25">
      <c r="A999439" s="15" t="s">
        <v>118</v>
      </c>
    </row>
    <row r="999440" spans="1:1" x14ac:dyDescent="0.25">
      <c r="A999440" s="15" t="s">
        <v>5</v>
      </c>
    </row>
    <row r="999441" spans="1:1" x14ac:dyDescent="0.25">
      <c r="A999441" s="15" t="s">
        <v>6</v>
      </c>
    </row>
    <row r="999442" spans="1:1" x14ac:dyDescent="0.25">
      <c r="A999442" s="15" t="s">
        <v>7</v>
      </c>
    </row>
    <row r="999443" spans="1:1" x14ac:dyDescent="0.25">
      <c r="A999443" s="15" t="s">
        <v>8</v>
      </c>
    </row>
    <row r="999444" spans="1:1" x14ac:dyDescent="0.25">
      <c r="A999444" s="15" t="s">
        <v>9</v>
      </c>
    </row>
    <row r="999445" spans="1:1" x14ac:dyDescent="0.25">
      <c r="A999445" s="15" t="s">
        <v>10</v>
      </c>
    </row>
    <row r="999446" spans="1:1" x14ac:dyDescent="0.25">
      <c r="A999446" s="15" t="s">
        <v>11</v>
      </c>
    </row>
    <row r="999447" spans="1:1" x14ac:dyDescent="0.25">
      <c r="A999447" s="15" t="s">
        <v>12</v>
      </c>
    </row>
    <row r="999448" spans="1:1" x14ac:dyDescent="0.25">
      <c r="A999448" s="15" t="s">
        <v>13</v>
      </c>
    </row>
    <row r="999449" spans="1:1" x14ac:dyDescent="0.25">
      <c r="A999449" s="15" t="s">
        <v>14</v>
      </c>
    </row>
    <row r="999450" spans="1:1" x14ac:dyDescent="0.25">
      <c r="A999450" s="13" t="s">
        <v>31</v>
      </c>
    </row>
    <row r="999451" spans="1:1" x14ac:dyDescent="0.25">
      <c r="A999451" s="13" t="s">
        <v>87</v>
      </c>
    </row>
    <row r="999452" spans="1:1" x14ac:dyDescent="0.25">
      <c r="A999452" s="15" t="s">
        <v>30</v>
      </c>
    </row>
    <row r="999453" spans="1:1" x14ac:dyDescent="0.25">
      <c r="A999453" s="15" t="s">
        <v>26</v>
      </c>
    </row>
    <row r="999454" spans="1:1" x14ac:dyDescent="0.25">
      <c r="A999454" s="15" t="s">
        <v>27</v>
      </c>
    </row>
    <row r="999455" spans="1:1" x14ac:dyDescent="0.25">
      <c r="A999455" s="15" t="s">
        <v>28</v>
      </c>
    </row>
    <row r="999456" spans="1:1" x14ac:dyDescent="0.25">
      <c r="A999456" s="15" t="s">
        <v>89</v>
      </c>
    </row>
    <row r="999457" spans="1:1" x14ac:dyDescent="0.25">
      <c r="A999457" s="15" t="s">
        <v>90</v>
      </c>
    </row>
    <row r="999458" spans="1:1" x14ac:dyDescent="0.25">
      <c r="A999458" s="15" t="s">
        <v>185</v>
      </c>
    </row>
    <row r="999459" spans="1:1" x14ac:dyDescent="0.25">
      <c r="A999459" s="15" t="s">
        <v>186</v>
      </c>
    </row>
    <row r="999460" spans="1:1" x14ac:dyDescent="0.25">
      <c r="A999460" s="15" t="s">
        <v>187</v>
      </c>
    </row>
    <row r="999461" spans="1:1" x14ac:dyDescent="0.25">
      <c r="A999461" s="15" t="s">
        <v>188</v>
      </c>
    </row>
    <row r="999462" spans="1:1" x14ac:dyDescent="0.25">
      <c r="A999462" s="15" t="s">
        <v>189</v>
      </c>
    </row>
    <row r="999463" spans="1:1" x14ac:dyDescent="0.25">
      <c r="A999463" s="15" t="s">
        <v>190</v>
      </c>
    </row>
    <row r="999464" spans="1:1" x14ac:dyDescent="0.25">
      <c r="A999464" s="15" t="s">
        <v>191</v>
      </c>
    </row>
    <row r="999465" spans="1:1" x14ac:dyDescent="0.25">
      <c r="A999465" s="14" t="s">
        <v>47</v>
      </c>
    </row>
    <row r="999466" spans="1:1" x14ac:dyDescent="0.25">
      <c r="A999466" s="14" t="s">
        <v>119</v>
      </c>
    </row>
    <row r="999467" spans="1:1" x14ac:dyDescent="0.25">
      <c r="A999467" s="14" t="s">
        <v>86</v>
      </c>
    </row>
    <row r="999468" spans="1:1" x14ac:dyDescent="0.25">
      <c r="A999468" s="13" t="s">
        <v>21</v>
      </c>
    </row>
    <row r="999469" spans="1:1" x14ac:dyDescent="0.25">
      <c r="A999469" s="14" t="s">
        <v>92</v>
      </c>
    </row>
    <row r="999470" spans="1:1" x14ac:dyDescent="0.25">
      <c r="A999470" s="14" t="s">
        <v>93</v>
      </c>
    </row>
    <row r="999471" spans="1:1" x14ac:dyDescent="0.25">
      <c r="A999471" s="14" t="s">
        <v>99</v>
      </c>
    </row>
    <row r="999472" spans="1:1" x14ac:dyDescent="0.25">
      <c r="A999472" s="14" t="s">
        <v>100</v>
      </c>
    </row>
    <row r="999473" spans="1:1" x14ac:dyDescent="0.25">
      <c r="A999473" s="13" t="s">
        <v>24</v>
      </c>
    </row>
    <row r="999474" spans="1:1" x14ac:dyDescent="0.25">
      <c r="A999474" s="13" t="s">
        <v>83</v>
      </c>
    </row>
    <row r="999475" spans="1:1" x14ac:dyDescent="0.25">
      <c r="A999475" s="13" t="s">
        <v>106</v>
      </c>
    </row>
    <row r="999476" spans="1:1" x14ac:dyDescent="0.25">
      <c r="A999476" s="13" t="s">
        <v>101</v>
      </c>
    </row>
    <row r="999477" spans="1:1" x14ac:dyDescent="0.25">
      <c r="A999477" s="13" t="s">
        <v>102</v>
      </c>
    </row>
    <row r="999478" spans="1:1" x14ac:dyDescent="0.25">
      <c r="A999478" s="13" t="s">
        <v>103</v>
      </c>
    </row>
    <row r="999479" spans="1:1" x14ac:dyDescent="0.25">
      <c r="A999479" s="13" t="s">
        <v>104</v>
      </c>
    </row>
    <row r="999480" spans="1:1" x14ac:dyDescent="0.25">
      <c r="A999480" s="13" t="s">
        <v>105</v>
      </c>
    </row>
    <row r="1015810" spans="1:1" x14ac:dyDescent="0.25">
      <c r="A1015810" s="13" t="s">
        <v>0</v>
      </c>
    </row>
    <row r="1015811" spans="1:1" x14ac:dyDescent="0.25">
      <c r="A1015811" s="13" t="s">
        <v>125</v>
      </c>
    </row>
    <row r="1015812" spans="1:1" x14ac:dyDescent="0.25">
      <c r="A1015812" s="13" t="s">
        <v>1</v>
      </c>
    </row>
    <row r="1015813" spans="1:1" x14ac:dyDescent="0.25">
      <c r="A1015813" s="13" t="s">
        <v>2</v>
      </c>
    </row>
    <row r="1015814" spans="1:1" x14ac:dyDescent="0.25">
      <c r="A1015814" s="14" t="s">
        <v>25</v>
      </c>
    </row>
    <row r="1015815" spans="1:1" x14ac:dyDescent="0.25">
      <c r="A1015815" s="13" t="s">
        <v>126</v>
      </c>
    </row>
    <row r="1015816" spans="1:1" x14ac:dyDescent="0.25">
      <c r="A1015816" s="13" t="s">
        <v>127</v>
      </c>
    </row>
    <row r="1015817" spans="1:1" x14ac:dyDescent="0.25">
      <c r="A1015817" s="13" t="s">
        <v>88</v>
      </c>
    </row>
    <row r="1015818" spans="1:1" x14ac:dyDescent="0.25">
      <c r="A1015818" s="13" t="s">
        <v>22</v>
      </c>
    </row>
    <row r="1015819" spans="1:1" x14ac:dyDescent="0.25">
      <c r="A1015819" s="13" t="s">
        <v>3</v>
      </c>
    </row>
    <row r="1015820" spans="1:1" x14ac:dyDescent="0.25">
      <c r="A1015820" s="15" t="s">
        <v>95</v>
      </c>
    </row>
    <row r="1015821" spans="1:1" x14ac:dyDescent="0.25">
      <c r="A1015821" s="15" t="s">
        <v>94</v>
      </c>
    </row>
    <row r="1015822" spans="1:1" x14ac:dyDescent="0.25">
      <c r="A1015822" s="15" t="s">
        <v>4</v>
      </c>
    </row>
    <row r="1015823" spans="1:1" x14ac:dyDescent="0.25">
      <c r="A1015823" s="15" t="s">
        <v>118</v>
      </c>
    </row>
    <row r="1015824" spans="1:1" x14ac:dyDescent="0.25">
      <c r="A1015824" s="15" t="s">
        <v>5</v>
      </c>
    </row>
    <row r="1015825" spans="1:1" x14ac:dyDescent="0.25">
      <c r="A1015825" s="15" t="s">
        <v>6</v>
      </c>
    </row>
    <row r="1015826" spans="1:1" x14ac:dyDescent="0.25">
      <c r="A1015826" s="15" t="s">
        <v>7</v>
      </c>
    </row>
    <row r="1015827" spans="1:1" x14ac:dyDescent="0.25">
      <c r="A1015827" s="15" t="s">
        <v>8</v>
      </c>
    </row>
    <row r="1015828" spans="1:1" x14ac:dyDescent="0.25">
      <c r="A1015828" s="15" t="s">
        <v>9</v>
      </c>
    </row>
    <row r="1015829" spans="1:1" x14ac:dyDescent="0.25">
      <c r="A1015829" s="15" t="s">
        <v>10</v>
      </c>
    </row>
    <row r="1015830" spans="1:1" x14ac:dyDescent="0.25">
      <c r="A1015830" s="15" t="s">
        <v>11</v>
      </c>
    </row>
    <row r="1015831" spans="1:1" x14ac:dyDescent="0.25">
      <c r="A1015831" s="15" t="s">
        <v>12</v>
      </c>
    </row>
    <row r="1015832" spans="1:1" x14ac:dyDescent="0.25">
      <c r="A1015832" s="15" t="s">
        <v>13</v>
      </c>
    </row>
    <row r="1015833" spans="1:1" x14ac:dyDescent="0.25">
      <c r="A1015833" s="15" t="s">
        <v>14</v>
      </c>
    </row>
    <row r="1015834" spans="1:1" x14ac:dyDescent="0.25">
      <c r="A1015834" s="13" t="s">
        <v>31</v>
      </c>
    </row>
    <row r="1015835" spans="1:1" x14ac:dyDescent="0.25">
      <c r="A1015835" s="13" t="s">
        <v>87</v>
      </c>
    </row>
    <row r="1015836" spans="1:1" x14ac:dyDescent="0.25">
      <c r="A1015836" s="15" t="s">
        <v>30</v>
      </c>
    </row>
    <row r="1015837" spans="1:1" x14ac:dyDescent="0.25">
      <c r="A1015837" s="15" t="s">
        <v>26</v>
      </c>
    </row>
    <row r="1015838" spans="1:1" x14ac:dyDescent="0.25">
      <c r="A1015838" s="15" t="s">
        <v>27</v>
      </c>
    </row>
    <row r="1015839" spans="1:1" x14ac:dyDescent="0.25">
      <c r="A1015839" s="15" t="s">
        <v>28</v>
      </c>
    </row>
    <row r="1015840" spans="1:1" x14ac:dyDescent="0.25">
      <c r="A1015840" s="15" t="s">
        <v>89</v>
      </c>
    </row>
    <row r="1015841" spans="1:1" x14ac:dyDescent="0.25">
      <c r="A1015841" s="15" t="s">
        <v>90</v>
      </c>
    </row>
    <row r="1015842" spans="1:1" x14ac:dyDescent="0.25">
      <c r="A1015842" s="15" t="s">
        <v>185</v>
      </c>
    </row>
    <row r="1015843" spans="1:1" x14ac:dyDescent="0.25">
      <c r="A1015843" s="15" t="s">
        <v>186</v>
      </c>
    </row>
    <row r="1015844" spans="1:1" x14ac:dyDescent="0.25">
      <c r="A1015844" s="15" t="s">
        <v>187</v>
      </c>
    </row>
    <row r="1015845" spans="1:1" x14ac:dyDescent="0.25">
      <c r="A1015845" s="15" t="s">
        <v>188</v>
      </c>
    </row>
    <row r="1015846" spans="1:1" x14ac:dyDescent="0.25">
      <c r="A1015846" s="15" t="s">
        <v>189</v>
      </c>
    </row>
    <row r="1015847" spans="1:1" x14ac:dyDescent="0.25">
      <c r="A1015847" s="15" t="s">
        <v>190</v>
      </c>
    </row>
    <row r="1015848" spans="1:1" x14ac:dyDescent="0.25">
      <c r="A1015848" s="15" t="s">
        <v>191</v>
      </c>
    </row>
    <row r="1015849" spans="1:1" x14ac:dyDescent="0.25">
      <c r="A1015849" s="14" t="s">
        <v>47</v>
      </c>
    </row>
    <row r="1015850" spans="1:1" x14ac:dyDescent="0.25">
      <c r="A1015850" s="14" t="s">
        <v>119</v>
      </c>
    </row>
    <row r="1015851" spans="1:1" x14ac:dyDescent="0.25">
      <c r="A1015851" s="14" t="s">
        <v>86</v>
      </c>
    </row>
    <row r="1015852" spans="1:1" x14ac:dyDescent="0.25">
      <c r="A1015852" s="13" t="s">
        <v>21</v>
      </c>
    </row>
    <row r="1015853" spans="1:1" x14ac:dyDescent="0.25">
      <c r="A1015853" s="14" t="s">
        <v>92</v>
      </c>
    </row>
    <row r="1015854" spans="1:1" x14ac:dyDescent="0.25">
      <c r="A1015854" s="14" t="s">
        <v>93</v>
      </c>
    </row>
    <row r="1015855" spans="1:1" x14ac:dyDescent="0.25">
      <c r="A1015855" s="14" t="s">
        <v>99</v>
      </c>
    </row>
    <row r="1015856" spans="1:1" x14ac:dyDescent="0.25">
      <c r="A1015856" s="14" t="s">
        <v>100</v>
      </c>
    </row>
    <row r="1015857" spans="1:1" x14ac:dyDescent="0.25">
      <c r="A1015857" s="13" t="s">
        <v>24</v>
      </c>
    </row>
    <row r="1015858" spans="1:1" x14ac:dyDescent="0.25">
      <c r="A1015858" s="13" t="s">
        <v>83</v>
      </c>
    </row>
    <row r="1015859" spans="1:1" x14ac:dyDescent="0.25">
      <c r="A1015859" s="13" t="s">
        <v>106</v>
      </c>
    </row>
    <row r="1015860" spans="1:1" x14ac:dyDescent="0.25">
      <c r="A1015860" s="13" t="s">
        <v>101</v>
      </c>
    </row>
    <row r="1015861" spans="1:1" x14ac:dyDescent="0.25">
      <c r="A1015861" s="13" t="s">
        <v>102</v>
      </c>
    </row>
    <row r="1015862" spans="1:1" x14ac:dyDescent="0.25">
      <c r="A1015862" s="13" t="s">
        <v>103</v>
      </c>
    </row>
    <row r="1015863" spans="1:1" x14ac:dyDescent="0.25">
      <c r="A1015863" s="13" t="s">
        <v>104</v>
      </c>
    </row>
    <row r="1015864" spans="1:1" x14ac:dyDescent="0.25">
      <c r="A1015864" s="13" t="s">
        <v>105</v>
      </c>
    </row>
    <row r="1032194" spans="1:1" x14ac:dyDescent="0.25">
      <c r="A1032194" s="13" t="s">
        <v>0</v>
      </c>
    </row>
    <row r="1032195" spans="1:1" x14ac:dyDescent="0.25">
      <c r="A1032195" s="13" t="s">
        <v>125</v>
      </c>
    </row>
    <row r="1032196" spans="1:1" x14ac:dyDescent="0.25">
      <c r="A1032196" s="13" t="s">
        <v>1</v>
      </c>
    </row>
    <row r="1032197" spans="1:1" x14ac:dyDescent="0.25">
      <c r="A1032197" s="13" t="s">
        <v>2</v>
      </c>
    </row>
    <row r="1032198" spans="1:1" x14ac:dyDescent="0.25">
      <c r="A1032198" s="14" t="s">
        <v>25</v>
      </c>
    </row>
    <row r="1032199" spans="1:1" x14ac:dyDescent="0.25">
      <c r="A1032199" s="13" t="s">
        <v>126</v>
      </c>
    </row>
    <row r="1032200" spans="1:1" x14ac:dyDescent="0.25">
      <c r="A1032200" s="13" t="s">
        <v>127</v>
      </c>
    </row>
    <row r="1032201" spans="1:1" x14ac:dyDescent="0.25">
      <c r="A1032201" s="13" t="s">
        <v>88</v>
      </c>
    </row>
    <row r="1032202" spans="1:1" x14ac:dyDescent="0.25">
      <c r="A1032202" s="13" t="s">
        <v>22</v>
      </c>
    </row>
    <row r="1032203" spans="1:1" x14ac:dyDescent="0.25">
      <c r="A1032203" s="13" t="s">
        <v>3</v>
      </c>
    </row>
    <row r="1032204" spans="1:1" x14ac:dyDescent="0.25">
      <c r="A1032204" s="15" t="s">
        <v>95</v>
      </c>
    </row>
    <row r="1032205" spans="1:1" x14ac:dyDescent="0.25">
      <c r="A1032205" s="15" t="s">
        <v>94</v>
      </c>
    </row>
    <row r="1032206" spans="1:1" x14ac:dyDescent="0.25">
      <c r="A1032206" s="15" t="s">
        <v>4</v>
      </c>
    </row>
    <row r="1032207" spans="1:1" x14ac:dyDescent="0.25">
      <c r="A1032207" s="15" t="s">
        <v>118</v>
      </c>
    </row>
    <row r="1032208" spans="1:1" x14ac:dyDescent="0.25">
      <c r="A1032208" s="15" t="s">
        <v>5</v>
      </c>
    </row>
    <row r="1032209" spans="1:1" x14ac:dyDescent="0.25">
      <c r="A1032209" s="15" t="s">
        <v>6</v>
      </c>
    </row>
    <row r="1032210" spans="1:1" x14ac:dyDescent="0.25">
      <c r="A1032210" s="15" t="s">
        <v>7</v>
      </c>
    </row>
    <row r="1032211" spans="1:1" x14ac:dyDescent="0.25">
      <c r="A1032211" s="15" t="s">
        <v>8</v>
      </c>
    </row>
    <row r="1032212" spans="1:1" x14ac:dyDescent="0.25">
      <c r="A1032212" s="15" t="s">
        <v>9</v>
      </c>
    </row>
    <row r="1032213" spans="1:1" x14ac:dyDescent="0.25">
      <c r="A1032213" s="15" t="s">
        <v>10</v>
      </c>
    </row>
    <row r="1032214" spans="1:1" x14ac:dyDescent="0.25">
      <c r="A1032214" s="15" t="s">
        <v>11</v>
      </c>
    </row>
    <row r="1032215" spans="1:1" x14ac:dyDescent="0.25">
      <c r="A1032215" s="15" t="s">
        <v>12</v>
      </c>
    </row>
    <row r="1032216" spans="1:1" x14ac:dyDescent="0.25">
      <c r="A1032216" s="15" t="s">
        <v>13</v>
      </c>
    </row>
    <row r="1032217" spans="1:1" x14ac:dyDescent="0.25">
      <c r="A1032217" s="15" t="s">
        <v>14</v>
      </c>
    </row>
    <row r="1032218" spans="1:1" x14ac:dyDescent="0.25">
      <c r="A1032218" s="13" t="s">
        <v>31</v>
      </c>
    </row>
    <row r="1032219" spans="1:1" x14ac:dyDescent="0.25">
      <c r="A1032219" s="13" t="s">
        <v>87</v>
      </c>
    </row>
    <row r="1032220" spans="1:1" x14ac:dyDescent="0.25">
      <c r="A1032220" s="15" t="s">
        <v>30</v>
      </c>
    </row>
    <row r="1032221" spans="1:1" x14ac:dyDescent="0.25">
      <c r="A1032221" s="15" t="s">
        <v>26</v>
      </c>
    </row>
    <row r="1032222" spans="1:1" x14ac:dyDescent="0.25">
      <c r="A1032222" s="15" t="s">
        <v>27</v>
      </c>
    </row>
    <row r="1032223" spans="1:1" x14ac:dyDescent="0.25">
      <c r="A1032223" s="15" t="s">
        <v>28</v>
      </c>
    </row>
    <row r="1032224" spans="1:1" x14ac:dyDescent="0.25">
      <c r="A1032224" s="15" t="s">
        <v>89</v>
      </c>
    </row>
    <row r="1032225" spans="1:1" x14ac:dyDescent="0.25">
      <c r="A1032225" s="15" t="s">
        <v>90</v>
      </c>
    </row>
    <row r="1032226" spans="1:1" x14ac:dyDescent="0.25">
      <c r="A1032226" s="15" t="s">
        <v>185</v>
      </c>
    </row>
    <row r="1032227" spans="1:1" x14ac:dyDescent="0.25">
      <c r="A1032227" s="15" t="s">
        <v>186</v>
      </c>
    </row>
    <row r="1032228" spans="1:1" x14ac:dyDescent="0.25">
      <c r="A1032228" s="15" t="s">
        <v>187</v>
      </c>
    </row>
    <row r="1032229" spans="1:1" x14ac:dyDescent="0.25">
      <c r="A1032229" s="15" t="s">
        <v>188</v>
      </c>
    </row>
    <row r="1032230" spans="1:1" x14ac:dyDescent="0.25">
      <c r="A1032230" s="15" t="s">
        <v>189</v>
      </c>
    </row>
    <row r="1032231" spans="1:1" x14ac:dyDescent="0.25">
      <c r="A1032231" s="15" t="s">
        <v>190</v>
      </c>
    </row>
    <row r="1032232" spans="1:1" x14ac:dyDescent="0.25">
      <c r="A1032232" s="15" t="s">
        <v>191</v>
      </c>
    </row>
    <row r="1032233" spans="1:1" x14ac:dyDescent="0.25">
      <c r="A1032233" s="14" t="s">
        <v>47</v>
      </c>
    </row>
    <row r="1032234" spans="1:1" x14ac:dyDescent="0.25">
      <c r="A1032234" s="14" t="s">
        <v>119</v>
      </c>
    </row>
    <row r="1032235" spans="1:1" x14ac:dyDescent="0.25">
      <c r="A1032235" s="14" t="s">
        <v>86</v>
      </c>
    </row>
    <row r="1032236" spans="1:1" x14ac:dyDescent="0.25">
      <c r="A1032236" s="13" t="s">
        <v>21</v>
      </c>
    </row>
    <row r="1032237" spans="1:1" x14ac:dyDescent="0.25">
      <c r="A1032237" s="14" t="s">
        <v>92</v>
      </c>
    </row>
    <row r="1032238" spans="1:1" x14ac:dyDescent="0.25">
      <c r="A1032238" s="14" t="s">
        <v>93</v>
      </c>
    </row>
    <row r="1032239" spans="1:1" x14ac:dyDescent="0.25">
      <c r="A1032239" s="14" t="s">
        <v>99</v>
      </c>
    </row>
    <row r="1032240" spans="1:1" x14ac:dyDescent="0.25">
      <c r="A1032240" s="14" t="s">
        <v>100</v>
      </c>
    </row>
    <row r="1032241" spans="1:1" x14ac:dyDescent="0.25">
      <c r="A1032241" s="13" t="s">
        <v>24</v>
      </c>
    </row>
    <row r="1032242" spans="1:1" x14ac:dyDescent="0.25">
      <c r="A1032242" s="13" t="s">
        <v>83</v>
      </c>
    </row>
    <row r="1032243" spans="1:1" x14ac:dyDescent="0.25">
      <c r="A1032243" s="13" t="s">
        <v>106</v>
      </c>
    </row>
    <row r="1032244" spans="1:1" x14ac:dyDescent="0.25">
      <c r="A1032244" s="13" t="s">
        <v>101</v>
      </c>
    </row>
    <row r="1032245" spans="1:1" x14ac:dyDescent="0.25">
      <c r="A1032245" s="13" t="s">
        <v>102</v>
      </c>
    </row>
    <row r="1032246" spans="1:1" x14ac:dyDescent="0.25">
      <c r="A1032246" s="13" t="s">
        <v>103</v>
      </c>
    </row>
    <row r="1032247" spans="1:1" x14ac:dyDescent="0.25">
      <c r="A1032247" s="13" t="s">
        <v>104</v>
      </c>
    </row>
    <row r="1032248" spans="1:1" x14ac:dyDescent="0.25">
      <c r="A1032248" s="13" t="s">
        <v>105</v>
      </c>
    </row>
  </sheetData>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45FD9-B711-476E-9B85-1CFF4D19B5BA}">
  <dimension ref="A1:H113"/>
  <sheetViews>
    <sheetView workbookViewId="0">
      <pane ySplit="1" topLeftCell="A100" activePane="bottomLeft" state="frozen"/>
      <selection pane="bottomLeft" activeCell="B112" sqref="B112:H112"/>
    </sheetView>
  </sheetViews>
  <sheetFormatPr defaultRowHeight="15" x14ac:dyDescent="0.25"/>
  <cols>
    <col min="1" max="1" width="84.85546875" style="16" customWidth="1"/>
    <col min="4" max="4" width="19.140625" customWidth="1"/>
    <col min="5" max="6" width="16.140625" customWidth="1"/>
    <col min="7" max="7" width="17.28515625" customWidth="1"/>
  </cols>
  <sheetData>
    <row r="1" spans="1:8" x14ac:dyDescent="0.25">
      <c r="A1" s="16" t="s">
        <v>34</v>
      </c>
      <c r="B1" s="1" t="s">
        <v>33</v>
      </c>
      <c r="C1" s="2" t="s">
        <v>26</v>
      </c>
      <c r="D1" s="2" t="s">
        <v>27</v>
      </c>
      <c r="E1" s="2" t="s">
        <v>28</v>
      </c>
      <c r="F1" s="2" t="s">
        <v>89</v>
      </c>
      <c r="G1" s="2" t="s">
        <v>29</v>
      </c>
      <c r="H1" s="2" t="s">
        <v>32</v>
      </c>
    </row>
    <row r="2" spans="1:8" x14ac:dyDescent="0.25">
      <c r="A2" s="16" t="s">
        <v>35</v>
      </c>
      <c r="B2">
        <v>180</v>
      </c>
      <c r="C2">
        <v>2</v>
      </c>
      <c r="D2">
        <v>0</v>
      </c>
      <c r="E2">
        <v>6</v>
      </c>
      <c r="F2">
        <v>32</v>
      </c>
      <c r="G2">
        <v>2</v>
      </c>
      <c r="H2">
        <v>380</v>
      </c>
    </row>
    <row r="3" spans="1:8" x14ac:dyDescent="0.25">
      <c r="A3" s="16" t="s">
        <v>36</v>
      </c>
      <c r="B3">
        <v>140</v>
      </c>
      <c r="C3">
        <v>10</v>
      </c>
      <c r="D3">
        <v>3</v>
      </c>
      <c r="E3">
        <v>12</v>
      </c>
      <c r="F3">
        <v>0</v>
      </c>
      <c r="G3">
        <v>0</v>
      </c>
      <c r="H3">
        <v>140</v>
      </c>
    </row>
    <row r="4" spans="1:8" x14ac:dyDescent="0.25">
      <c r="A4" s="16" t="s">
        <v>37</v>
      </c>
      <c r="B4">
        <v>92</v>
      </c>
      <c r="C4">
        <v>0</v>
      </c>
      <c r="D4">
        <v>0</v>
      </c>
      <c r="E4">
        <v>2</v>
      </c>
      <c r="F4">
        <v>24</v>
      </c>
      <c r="G4">
        <v>2</v>
      </c>
      <c r="H4">
        <v>0</v>
      </c>
    </row>
    <row r="5" spans="1:8" x14ac:dyDescent="0.25">
      <c r="A5" s="16" t="s">
        <v>38</v>
      </c>
      <c r="B5">
        <v>120</v>
      </c>
      <c r="C5">
        <v>3</v>
      </c>
      <c r="D5">
        <v>2</v>
      </c>
      <c r="E5">
        <v>6</v>
      </c>
      <c r="F5">
        <v>19</v>
      </c>
      <c r="G5">
        <v>2</v>
      </c>
      <c r="H5">
        <v>330</v>
      </c>
    </row>
    <row r="6" spans="1:8" x14ac:dyDescent="0.25">
      <c r="A6" s="16" t="s">
        <v>281</v>
      </c>
      <c r="B6">
        <v>60</v>
      </c>
      <c r="C6">
        <v>5</v>
      </c>
      <c r="D6">
        <v>3.5</v>
      </c>
      <c r="E6">
        <v>1</v>
      </c>
      <c r="F6">
        <v>2</v>
      </c>
      <c r="G6">
        <v>0</v>
      </c>
      <c r="H6">
        <v>15</v>
      </c>
    </row>
    <row r="7" spans="1:8" x14ac:dyDescent="0.25">
      <c r="A7" s="16" t="s">
        <v>39</v>
      </c>
      <c r="B7">
        <v>81</v>
      </c>
      <c r="C7">
        <v>0</v>
      </c>
      <c r="D7">
        <v>0</v>
      </c>
      <c r="E7">
        <v>2</v>
      </c>
      <c r="F7">
        <v>21</v>
      </c>
      <c r="G7">
        <v>4</v>
      </c>
      <c r="H7">
        <v>2</v>
      </c>
    </row>
    <row r="8" spans="1:8" x14ac:dyDescent="0.25">
      <c r="A8" s="16" t="s">
        <v>40</v>
      </c>
      <c r="B8">
        <v>15</v>
      </c>
      <c r="C8">
        <v>0</v>
      </c>
      <c r="D8">
        <v>0</v>
      </c>
      <c r="E8">
        <v>1</v>
      </c>
      <c r="F8">
        <v>3</v>
      </c>
      <c r="G8">
        <v>1</v>
      </c>
      <c r="H8">
        <v>290</v>
      </c>
    </row>
    <row r="9" spans="1:8" x14ac:dyDescent="0.25">
      <c r="A9" s="16" t="s">
        <v>41</v>
      </c>
      <c r="B9">
        <v>280</v>
      </c>
      <c r="C9">
        <v>7</v>
      </c>
      <c r="D9">
        <v>1</v>
      </c>
      <c r="E9">
        <v>8</v>
      </c>
      <c r="F9">
        <v>42</v>
      </c>
      <c r="G9">
        <v>8</v>
      </c>
      <c r="H9">
        <v>360</v>
      </c>
    </row>
    <row r="10" spans="1:8" x14ac:dyDescent="0.25">
      <c r="A10" s="16" t="s">
        <v>56</v>
      </c>
      <c r="B10">
        <v>210</v>
      </c>
      <c r="C10">
        <v>5.25</v>
      </c>
      <c r="D10">
        <v>0.75</v>
      </c>
      <c r="E10">
        <v>6</v>
      </c>
      <c r="F10">
        <v>31.5</v>
      </c>
      <c r="G10">
        <v>6</v>
      </c>
      <c r="H10">
        <v>270</v>
      </c>
    </row>
    <row r="11" spans="1:8" x14ac:dyDescent="0.25">
      <c r="A11" s="16" t="s">
        <v>57</v>
      </c>
      <c r="B11">
        <v>140</v>
      </c>
      <c r="C11">
        <v>3.5</v>
      </c>
      <c r="D11">
        <v>0.5</v>
      </c>
      <c r="E11">
        <v>4</v>
      </c>
      <c r="F11">
        <v>21</v>
      </c>
      <c r="G11">
        <v>4</v>
      </c>
      <c r="H11">
        <v>180</v>
      </c>
    </row>
    <row r="12" spans="1:8" x14ac:dyDescent="0.25">
      <c r="A12" s="16" t="s">
        <v>42</v>
      </c>
      <c r="B12">
        <v>161</v>
      </c>
      <c r="C12">
        <v>14.5</v>
      </c>
      <c r="D12">
        <v>2</v>
      </c>
      <c r="E12">
        <v>2</v>
      </c>
      <c r="F12">
        <v>8.5</v>
      </c>
      <c r="G12">
        <v>6.5</v>
      </c>
      <c r="H12">
        <v>7</v>
      </c>
    </row>
    <row r="13" spans="1:8" x14ac:dyDescent="0.25">
      <c r="A13" s="16" t="s">
        <v>52</v>
      </c>
      <c r="B13">
        <v>322</v>
      </c>
      <c r="C13">
        <v>29</v>
      </c>
      <c r="D13">
        <v>4</v>
      </c>
      <c r="E13">
        <v>4</v>
      </c>
      <c r="F13">
        <v>17</v>
      </c>
      <c r="G13">
        <v>18</v>
      </c>
      <c r="H13">
        <v>14</v>
      </c>
    </row>
    <row r="14" spans="1:8" x14ac:dyDescent="0.25">
      <c r="A14" s="16" t="s">
        <v>168</v>
      </c>
      <c r="B14">
        <f>0.75*322</f>
        <v>241.5</v>
      </c>
      <c r="C14">
        <f>29*0.75</f>
        <v>21.75</v>
      </c>
      <c r="D14">
        <f>4*0.75</f>
        <v>3</v>
      </c>
      <c r="E14">
        <f>4*0.75</f>
        <v>3</v>
      </c>
      <c r="F14">
        <f>17*0.75</f>
        <v>12.75</v>
      </c>
      <c r="G14">
        <f>18*0.75</f>
        <v>13.5</v>
      </c>
      <c r="H14">
        <f>14*0.75</f>
        <v>10.5</v>
      </c>
    </row>
    <row r="15" spans="1:8" x14ac:dyDescent="0.25">
      <c r="A15" s="16" t="s">
        <v>43</v>
      </c>
      <c r="B15">
        <v>150</v>
      </c>
      <c r="C15">
        <v>0</v>
      </c>
      <c r="D15">
        <v>0</v>
      </c>
      <c r="E15">
        <v>3</v>
      </c>
      <c r="F15">
        <v>14</v>
      </c>
      <c r="G15">
        <v>3</v>
      </c>
      <c r="H15">
        <v>30</v>
      </c>
    </row>
    <row r="16" spans="1:8" x14ac:dyDescent="0.25">
      <c r="A16" s="16" t="s">
        <v>45</v>
      </c>
      <c r="B16">
        <v>100</v>
      </c>
      <c r="C16">
        <v>0</v>
      </c>
      <c r="D16">
        <v>0</v>
      </c>
      <c r="E16">
        <v>2</v>
      </c>
      <c r="F16">
        <v>9</v>
      </c>
      <c r="G16">
        <v>2</v>
      </c>
      <c r="H16">
        <v>20</v>
      </c>
    </row>
    <row r="17" spans="1:8" x14ac:dyDescent="0.25">
      <c r="A17" s="16" t="s">
        <v>44</v>
      </c>
      <c r="B17">
        <v>130</v>
      </c>
      <c r="C17">
        <v>3</v>
      </c>
      <c r="D17">
        <v>2</v>
      </c>
      <c r="E17">
        <v>0</v>
      </c>
      <c r="F17">
        <v>19</v>
      </c>
      <c r="G17">
        <v>3</v>
      </c>
      <c r="H17">
        <v>670</v>
      </c>
    </row>
    <row r="18" spans="1:8" x14ac:dyDescent="0.25">
      <c r="A18" s="16" t="s">
        <v>46</v>
      </c>
      <c r="B18">
        <v>80</v>
      </c>
      <c r="C18">
        <v>5</v>
      </c>
      <c r="D18">
        <v>3.5</v>
      </c>
      <c r="E18">
        <v>6</v>
      </c>
      <c r="F18">
        <v>1</v>
      </c>
      <c r="G18">
        <v>0</v>
      </c>
      <c r="H18">
        <v>190</v>
      </c>
    </row>
    <row r="19" spans="1:8" x14ac:dyDescent="0.25">
      <c r="A19" s="16" t="s">
        <v>48</v>
      </c>
      <c r="B19">
        <v>290</v>
      </c>
      <c r="C19">
        <v>12</v>
      </c>
      <c r="D19">
        <v>6</v>
      </c>
      <c r="E19">
        <v>7</v>
      </c>
      <c r="F19">
        <v>39</v>
      </c>
      <c r="G19">
        <v>3</v>
      </c>
      <c r="H19">
        <v>1150</v>
      </c>
    </row>
    <row r="20" spans="1:8" x14ac:dyDescent="0.25">
      <c r="A20" s="16" t="s">
        <v>49</v>
      </c>
      <c r="B20">
        <v>60</v>
      </c>
      <c r="C20">
        <v>0.5</v>
      </c>
      <c r="D20">
        <v>0</v>
      </c>
      <c r="E20">
        <v>2</v>
      </c>
      <c r="F20">
        <v>11</v>
      </c>
      <c r="G20">
        <v>7</v>
      </c>
      <c r="H20">
        <v>0</v>
      </c>
    </row>
    <row r="21" spans="1:8" x14ac:dyDescent="0.25">
      <c r="A21" s="16" t="s">
        <v>50</v>
      </c>
      <c r="B21">
        <v>42</v>
      </c>
      <c r="C21">
        <v>0</v>
      </c>
      <c r="D21">
        <v>0</v>
      </c>
      <c r="E21">
        <v>1</v>
      </c>
      <c r="F21">
        <v>13</v>
      </c>
      <c r="G21">
        <v>2</v>
      </c>
      <c r="H21">
        <v>1</v>
      </c>
    </row>
    <row r="22" spans="1:8" x14ac:dyDescent="0.25">
      <c r="A22" s="16" t="s">
        <v>51</v>
      </c>
      <c r="B22">
        <v>120</v>
      </c>
      <c r="C22">
        <v>3</v>
      </c>
      <c r="D22">
        <v>2</v>
      </c>
      <c r="E22">
        <v>6</v>
      </c>
      <c r="F22">
        <v>19</v>
      </c>
      <c r="G22">
        <v>2</v>
      </c>
      <c r="H22">
        <v>330</v>
      </c>
    </row>
    <row r="23" spans="1:8" x14ac:dyDescent="0.25">
      <c r="A23" s="16" t="s">
        <v>53</v>
      </c>
      <c r="B23">
        <v>8.5</v>
      </c>
      <c r="C23">
        <v>0</v>
      </c>
      <c r="D23">
        <v>0</v>
      </c>
      <c r="E23">
        <v>0</v>
      </c>
      <c r="F23">
        <v>36</v>
      </c>
      <c r="G23">
        <v>0</v>
      </c>
      <c r="H23">
        <v>1</v>
      </c>
    </row>
    <row r="24" spans="1:8" x14ac:dyDescent="0.25">
      <c r="A24" s="16" t="s">
        <v>54</v>
      </c>
      <c r="B24">
        <v>25</v>
      </c>
      <c r="C24">
        <v>0</v>
      </c>
      <c r="D24">
        <v>0</v>
      </c>
      <c r="E24">
        <v>0</v>
      </c>
      <c r="F24">
        <v>6</v>
      </c>
      <c r="G24">
        <v>1</v>
      </c>
      <c r="H24">
        <v>0</v>
      </c>
    </row>
    <row r="25" spans="1:8" x14ac:dyDescent="0.25">
      <c r="A25" s="16" t="s">
        <v>55</v>
      </c>
      <c r="B25">
        <v>8</v>
      </c>
      <c r="C25">
        <v>0.6</v>
      </c>
      <c r="D25">
        <v>0</v>
      </c>
      <c r="E25">
        <v>0.25</v>
      </c>
      <c r="F25">
        <v>0.25</v>
      </c>
      <c r="G25">
        <v>0.25</v>
      </c>
      <c r="H25">
        <v>40</v>
      </c>
    </row>
    <row r="26" spans="1:8" x14ac:dyDescent="0.25">
      <c r="A26" s="16" t="s">
        <v>58</v>
      </c>
      <c r="B26">
        <v>57</v>
      </c>
      <c r="C26">
        <v>0</v>
      </c>
      <c r="D26">
        <v>0</v>
      </c>
      <c r="E26">
        <v>0</v>
      </c>
      <c r="F26">
        <v>15</v>
      </c>
      <c r="G26">
        <v>3</v>
      </c>
      <c r="H26">
        <v>1</v>
      </c>
    </row>
    <row r="27" spans="1:8" x14ac:dyDescent="0.25">
      <c r="A27" s="16" t="s">
        <v>308</v>
      </c>
      <c r="B27">
        <v>62</v>
      </c>
      <c r="C27">
        <v>0.1</v>
      </c>
      <c r="D27">
        <v>0</v>
      </c>
      <c r="E27">
        <v>0.3</v>
      </c>
      <c r="F27">
        <v>14.9</v>
      </c>
      <c r="G27">
        <v>2.5</v>
      </c>
      <c r="H27">
        <v>0</v>
      </c>
    </row>
    <row r="28" spans="1:8" x14ac:dyDescent="0.25">
      <c r="A28" s="16" t="s">
        <v>59</v>
      </c>
      <c r="B28">
        <v>30</v>
      </c>
      <c r="C28">
        <v>0</v>
      </c>
      <c r="D28">
        <v>0</v>
      </c>
      <c r="E28">
        <v>0</v>
      </c>
      <c r="F28">
        <v>8</v>
      </c>
      <c r="G28">
        <v>1</v>
      </c>
      <c r="H28">
        <v>150</v>
      </c>
    </row>
    <row r="29" spans="1:8" x14ac:dyDescent="0.25">
      <c r="A29" s="16" t="s">
        <v>60</v>
      </c>
      <c r="B29">
        <v>70</v>
      </c>
      <c r="C29">
        <v>5</v>
      </c>
      <c r="D29">
        <v>3</v>
      </c>
      <c r="E29">
        <v>4</v>
      </c>
      <c r="F29">
        <v>1</v>
      </c>
      <c r="G29">
        <v>0</v>
      </c>
      <c r="H29">
        <v>250</v>
      </c>
    </row>
    <row r="30" spans="1:8" x14ac:dyDescent="0.25">
      <c r="A30" s="16" t="s">
        <v>61</v>
      </c>
      <c r="B30">
        <v>270</v>
      </c>
      <c r="C30">
        <v>7</v>
      </c>
      <c r="D30">
        <v>1</v>
      </c>
      <c r="E30">
        <v>6</v>
      </c>
      <c r="F30">
        <v>46</v>
      </c>
      <c r="G30">
        <v>3</v>
      </c>
      <c r="H30">
        <v>55</v>
      </c>
    </row>
    <row r="31" spans="1:8" x14ac:dyDescent="0.25">
      <c r="A31" s="16" t="s">
        <v>62</v>
      </c>
      <c r="B31">
        <v>25</v>
      </c>
      <c r="C31">
        <v>0</v>
      </c>
      <c r="D31">
        <v>0</v>
      </c>
      <c r="E31">
        <v>0</v>
      </c>
      <c r="F31">
        <v>6</v>
      </c>
      <c r="G31">
        <v>1</v>
      </c>
      <c r="H31">
        <v>0</v>
      </c>
    </row>
    <row r="32" spans="1:8" x14ac:dyDescent="0.25">
      <c r="A32" s="16" t="s">
        <v>63</v>
      </c>
      <c r="B32">
        <v>150</v>
      </c>
      <c r="C32">
        <v>8</v>
      </c>
      <c r="D32">
        <v>1</v>
      </c>
      <c r="E32">
        <v>2</v>
      </c>
      <c r="F32">
        <v>17</v>
      </c>
      <c r="G32">
        <v>1</v>
      </c>
      <c r="H32">
        <v>170</v>
      </c>
    </row>
    <row r="33" spans="1:8" x14ac:dyDescent="0.25">
      <c r="A33" s="16" t="s">
        <v>64</v>
      </c>
      <c r="B33">
        <f>SUM(B34:B37)</f>
        <v>528</v>
      </c>
      <c r="C33">
        <f>SUM(C34:C37)</f>
        <v>19.34</v>
      </c>
      <c r="D33">
        <f t="shared" ref="D33:G33" si="0">SUM(D34:D37)</f>
        <v>5.04</v>
      </c>
      <c r="E33">
        <f t="shared" si="0"/>
        <v>28</v>
      </c>
      <c r="F33">
        <f>SUM(F34:F37)</f>
        <v>62</v>
      </c>
      <c r="G33">
        <f t="shared" si="0"/>
        <v>7</v>
      </c>
      <c r="H33">
        <f>SUM(H34:H37)</f>
        <v>385.03</v>
      </c>
    </row>
    <row r="34" spans="1:8" x14ac:dyDescent="0.25">
      <c r="A34" s="16" t="s">
        <v>65</v>
      </c>
      <c r="B34">
        <v>200</v>
      </c>
      <c r="C34">
        <v>1</v>
      </c>
      <c r="D34">
        <v>0</v>
      </c>
      <c r="E34">
        <v>4</v>
      </c>
      <c r="F34">
        <v>44</v>
      </c>
      <c r="G34">
        <v>1</v>
      </c>
      <c r="H34">
        <v>0</v>
      </c>
    </row>
    <row r="35" spans="1:8" x14ac:dyDescent="0.25">
      <c r="A35" s="16" t="s">
        <v>181</v>
      </c>
      <c r="B35">
        <v>260</v>
      </c>
      <c r="C35">
        <v>18</v>
      </c>
      <c r="D35">
        <v>5</v>
      </c>
      <c r="E35">
        <v>20</v>
      </c>
      <c r="F35">
        <v>5</v>
      </c>
      <c r="G35">
        <v>2</v>
      </c>
      <c r="H35">
        <v>350</v>
      </c>
    </row>
    <row r="36" spans="1:8" x14ac:dyDescent="0.25">
      <c r="A36" s="16" t="s">
        <v>66</v>
      </c>
      <c r="B36">
        <v>31</v>
      </c>
      <c r="C36">
        <v>0.34</v>
      </c>
      <c r="D36">
        <v>0.04</v>
      </c>
      <c r="E36">
        <v>3</v>
      </c>
      <c r="F36">
        <v>6</v>
      </c>
      <c r="G36">
        <v>2</v>
      </c>
      <c r="H36">
        <v>30.03</v>
      </c>
    </row>
    <row r="37" spans="1:8" x14ac:dyDescent="0.25">
      <c r="A37" s="16" t="s">
        <v>67</v>
      </c>
      <c r="B37">
        <v>37</v>
      </c>
      <c r="C37">
        <v>0</v>
      </c>
      <c r="D37">
        <v>0</v>
      </c>
      <c r="E37">
        <v>1</v>
      </c>
      <c r="F37">
        <v>7</v>
      </c>
      <c r="G37">
        <v>2</v>
      </c>
      <c r="H37">
        <v>5</v>
      </c>
    </row>
    <row r="38" spans="1:8" x14ac:dyDescent="0.25">
      <c r="A38" s="16" t="s">
        <v>116</v>
      </c>
      <c r="B38">
        <v>40</v>
      </c>
      <c r="C38">
        <v>0</v>
      </c>
      <c r="D38">
        <v>0</v>
      </c>
      <c r="E38">
        <v>1</v>
      </c>
      <c r="F38">
        <v>10</v>
      </c>
      <c r="G38">
        <v>3</v>
      </c>
      <c r="H38">
        <v>0</v>
      </c>
    </row>
    <row r="39" spans="1:8" x14ac:dyDescent="0.25">
      <c r="A39" s="16" t="s">
        <v>280</v>
      </c>
      <c r="B39">
        <v>27</v>
      </c>
      <c r="C39">
        <v>0</v>
      </c>
      <c r="D39">
        <v>0</v>
      </c>
      <c r="E39">
        <v>1</v>
      </c>
      <c r="F39">
        <v>6</v>
      </c>
      <c r="G39">
        <v>1</v>
      </c>
      <c r="H39">
        <v>2</v>
      </c>
    </row>
    <row r="40" spans="1:8" x14ac:dyDescent="0.25">
      <c r="A40" s="16" t="s">
        <v>68</v>
      </c>
      <c r="B40">
        <v>105</v>
      </c>
      <c r="C40">
        <v>0</v>
      </c>
      <c r="D40">
        <v>0</v>
      </c>
      <c r="E40">
        <v>1</v>
      </c>
      <c r="F40">
        <v>27</v>
      </c>
      <c r="G40">
        <v>3</v>
      </c>
      <c r="H40">
        <v>1</v>
      </c>
    </row>
    <row r="41" spans="1:8" x14ac:dyDescent="0.25">
      <c r="A41" s="16" t="s">
        <v>69</v>
      </c>
      <c r="B41">
        <f>SUM(B42:B44)+SUM(B36:B37)</f>
        <v>528</v>
      </c>
      <c r="C41">
        <f t="shared" ref="C41:H41" si="1">SUM(C42:C44)+SUM(C36:C37)</f>
        <v>17.84</v>
      </c>
      <c r="D41">
        <f t="shared" si="1"/>
        <v>7.04</v>
      </c>
      <c r="E41">
        <f>SUM(E42:E44)+SUM(E36:E37)</f>
        <v>47</v>
      </c>
      <c r="F41">
        <f>SUM(F42:F44)+SUM(F36:F37)</f>
        <v>57</v>
      </c>
      <c r="G41">
        <f t="shared" si="1"/>
        <v>22</v>
      </c>
      <c r="H41">
        <f t="shared" si="1"/>
        <v>1025.03</v>
      </c>
    </row>
    <row r="42" spans="1:8" x14ac:dyDescent="0.25">
      <c r="A42" s="16" t="s">
        <v>70</v>
      </c>
      <c r="B42">
        <v>180</v>
      </c>
      <c r="C42">
        <v>3.5</v>
      </c>
      <c r="D42">
        <v>0</v>
      </c>
      <c r="E42">
        <v>24</v>
      </c>
      <c r="F42">
        <v>20</v>
      </c>
      <c r="G42">
        <v>13</v>
      </c>
      <c r="H42">
        <v>0</v>
      </c>
    </row>
    <row r="43" spans="1:8" x14ac:dyDescent="0.25">
      <c r="A43" s="16" t="s">
        <v>71</v>
      </c>
      <c r="B43">
        <v>220</v>
      </c>
      <c r="C43">
        <v>13</v>
      </c>
      <c r="D43">
        <v>7</v>
      </c>
      <c r="E43">
        <v>17</v>
      </c>
      <c r="F43">
        <v>12</v>
      </c>
      <c r="G43">
        <v>3</v>
      </c>
      <c r="H43">
        <v>570</v>
      </c>
    </row>
    <row r="44" spans="1:8" x14ac:dyDescent="0.25">
      <c r="A44" s="16" t="s">
        <v>72</v>
      </c>
      <c r="B44">
        <v>60</v>
      </c>
      <c r="C44">
        <v>1</v>
      </c>
      <c r="D44">
        <v>0</v>
      </c>
      <c r="E44">
        <v>2</v>
      </c>
      <c r="F44">
        <v>12</v>
      </c>
      <c r="G44">
        <v>2</v>
      </c>
      <c r="H44">
        <v>420</v>
      </c>
    </row>
    <row r="45" spans="1:8" x14ac:dyDescent="0.25">
      <c r="A45" s="16" t="s">
        <v>74</v>
      </c>
      <c r="B45">
        <v>104</v>
      </c>
      <c r="C45">
        <v>0</v>
      </c>
      <c r="D45">
        <v>0</v>
      </c>
      <c r="E45">
        <v>1</v>
      </c>
      <c r="F45">
        <v>27</v>
      </c>
      <c r="G45">
        <v>1</v>
      </c>
      <c r="H45">
        <v>3</v>
      </c>
    </row>
    <row r="46" spans="1:8" x14ac:dyDescent="0.25">
      <c r="A46" s="16" t="s">
        <v>75</v>
      </c>
      <c r="B46">
        <v>90</v>
      </c>
      <c r="C46">
        <v>3.5</v>
      </c>
      <c r="D46">
        <v>1</v>
      </c>
      <c r="E46">
        <v>3</v>
      </c>
      <c r="F46">
        <v>12</v>
      </c>
      <c r="G46">
        <v>3</v>
      </c>
      <c r="H46">
        <v>460</v>
      </c>
    </row>
    <row r="47" spans="1:8" x14ac:dyDescent="0.25">
      <c r="A47" s="16" t="s">
        <v>115</v>
      </c>
      <c r="B47">
        <v>20</v>
      </c>
      <c r="C47">
        <v>1.5</v>
      </c>
      <c r="D47">
        <v>1</v>
      </c>
      <c r="E47">
        <v>2</v>
      </c>
      <c r="F47">
        <v>0</v>
      </c>
      <c r="G47">
        <v>0</v>
      </c>
      <c r="H47">
        <v>100</v>
      </c>
    </row>
    <row r="48" spans="1:8" x14ac:dyDescent="0.25">
      <c r="A48" s="16" t="s">
        <v>76</v>
      </c>
      <c r="B48">
        <v>120</v>
      </c>
      <c r="C48">
        <v>14</v>
      </c>
      <c r="D48">
        <v>2</v>
      </c>
      <c r="E48">
        <v>0</v>
      </c>
      <c r="F48">
        <v>0</v>
      </c>
      <c r="G48">
        <v>0</v>
      </c>
      <c r="H48">
        <v>0</v>
      </c>
    </row>
    <row r="49" spans="1:8" x14ac:dyDescent="0.25">
      <c r="A49" s="16" t="s">
        <v>77</v>
      </c>
      <c r="B49">
        <v>190</v>
      </c>
      <c r="C49">
        <v>0</v>
      </c>
      <c r="D49">
        <v>0</v>
      </c>
      <c r="E49">
        <v>6</v>
      </c>
      <c r="F49">
        <v>41</v>
      </c>
      <c r="G49">
        <v>7</v>
      </c>
      <c r="H49">
        <v>1450</v>
      </c>
    </row>
    <row r="50" spans="1:8" x14ac:dyDescent="0.25">
      <c r="A50" s="16" t="s">
        <v>78</v>
      </c>
      <c r="B50">
        <v>107</v>
      </c>
      <c r="C50">
        <v>0</v>
      </c>
      <c r="D50">
        <v>0</v>
      </c>
      <c r="E50">
        <v>1</v>
      </c>
      <c r="F50">
        <v>28</v>
      </c>
      <c r="G50">
        <v>3</v>
      </c>
      <c r="H50">
        <v>3</v>
      </c>
    </row>
    <row r="51" spans="1:8" x14ac:dyDescent="0.25">
      <c r="A51" s="16" t="s">
        <v>79</v>
      </c>
      <c r="B51">
        <v>140</v>
      </c>
      <c r="C51">
        <v>7</v>
      </c>
      <c r="D51">
        <v>5</v>
      </c>
      <c r="E51">
        <v>2</v>
      </c>
      <c r="F51">
        <v>18</v>
      </c>
      <c r="G51">
        <v>2</v>
      </c>
      <c r="H51">
        <v>90</v>
      </c>
    </row>
    <row r="52" spans="1:8" x14ac:dyDescent="0.25">
      <c r="A52" s="16" t="s">
        <v>80</v>
      </c>
      <c r="B52">
        <v>200</v>
      </c>
      <c r="C52">
        <v>9</v>
      </c>
      <c r="D52">
        <v>9</v>
      </c>
      <c r="E52">
        <v>12</v>
      </c>
      <c r="F52">
        <v>1</v>
      </c>
      <c r="G52">
        <v>0</v>
      </c>
      <c r="H52">
        <v>340</v>
      </c>
    </row>
    <row r="53" spans="1:8" x14ac:dyDescent="0.25">
      <c r="A53" s="16" t="s">
        <v>81</v>
      </c>
      <c r="B53">
        <v>340</v>
      </c>
      <c r="C53">
        <v>5</v>
      </c>
      <c r="D53">
        <v>0</v>
      </c>
      <c r="E53">
        <v>17</v>
      </c>
      <c r="F53">
        <v>57</v>
      </c>
      <c r="G53">
        <v>16</v>
      </c>
      <c r="H53">
        <v>1670</v>
      </c>
    </row>
    <row r="54" spans="1:8" x14ac:dyDescent="0.25">
      <c r="A54" s="16" t="s">
        <v>82</v>
      </c>
      <c r="B54">
        <v>150</v>
      </c>
      <c r="C54">
        <v>1</v>
      </c>
      <c r="D54">
        <v>0</v>
      </c>
      <c r="E54">
        <v>3</v>
      </c>
      <c r="F54">
        <v>33</v>
      </c>
      <c r="G54">
        <v>2</v>
      </c>
      <c r="H54">
        <v>280</v>
      </c>
    </row>
    <row r="55" spans="1:8" x14ac:dyDescent="0.25">
      <c r="A55" s="16" t="s">
        <v>91</v>
      </c>
      <c r="B55">
        <v>100</v>
      </c>
      <c r="C55">
        <v>1</v>
      </c>
      <c r="D55">
        <v>0</v>
      </c>
      <c r="E55">
        <v>2</v>
      </c>
      <c r="F55">
        <v>21</v>
      </c>
      <c r="G55">
        <v>2</v>
      </c>
      <c r="H55">
        <v>20</v>
      </c>
    </row>
    <row r="56" spans="1:8" x14ac:dyDescent="0.25">
      <c r="A56" s="16" t="s">
        <v>107</v>
      </c>
      <c r="B56">
        <v>200</v>
      </c>
      <c r="C56">
        <v>13</v>
      </c>
      <c r="D56">
        <v>12</v>
      </c>
      <c r="E56">
        <v>2</v>
      </c>
      <c r="F56">
        <v>22</v>
      </c>
      <c r="G56">
        <v>2</v>
      </c>
      <c r="H56">
        <v>20</v>
      </c>
    </row>
    <row r="57" spans="1:8" x14ac:dyDescent="0.25">
      <c r="A57" s="16" t="s">
        <v>109</v>
      </c>
      <c r="B57">
        <v>160</v>
      </c>
      <c r="C57">
        <v>7</v>
      </c>
      <c r="D57">
        <v>2</v>
      </c>
      <c r="E57">
        <v>2</v>
      </c>
      <c r="F57">
        <v>21</v>
      </c>
      <c r="G57">
        <v>2</v>
      </c>
      <c r="H57">
        <v>0</v>
      </c>
    </row>
    <row r="58" spans="1:8" x14ac:dyDescent="0.25">
      <c r="A58" s="16" t="s">
        <v>110</v>
      </c>
      <c r="B58">
        <f>0.66*160</f>
        <v>105.60000000000001</v>
      </c>
      <c r="C58">
        <f>0.66*7</f>
        <v>4.62</v>
      </c>
      <c r="D58">
        <f>0.66*2</f>
        <v>1.32</v>
      </c>
      <c r="E58">
        <f>0.66*2</f>
        <v>1.32</v>
      </c>
      <c r="F58">
        <f>0.66*21</f>
        <v>13.860000000000001</v>
      </c>
      <c r="G58">
        <f>0.66*2</f>
        <v>1.32</v>
      </c>
      <c r="H58">
        <v>0</v>
      </c>
    </row>
    <row r="59" spans="1:8" x14ac:dyDescent="0.25">
      <c r="A59" s="16" t="s">
        <v>111</v>
      </c>
      <c r="B59">
        <v>330</v>
      </c>
      <c r="C59">
        <v>2.5</v>
      </c>
      <c r="D59">
        <v>0.5</v>
      </c>
      <c r="E59">
        <v>23</v>
      </c>
      <c r="F59">
        <v>61</v>
      </c>
      <c r="G59">
        <v>11</v>
      </c>
      <c r="H59">
        <v>0</v>
      </c>
    </row>
    <row r="60" spans="1:8" x14ac:dyDescent="0.25">
      <c r="A60" s="16" t="s">
        <v>112</v>
      </c>
      <c r="B60">
        <v>90</v>
      </c>
      <c r="C60">
        <v>2</v>
      </c>
      <c r="D60">
        <v>2</v>
      </c>
      <c r="E60">
        <v>3</v>
      </c>
      <c r="F60">
        <v>18</v>
      </c>
      <c r="G60">
        <v>4</v>
      </c>
      <c r="H60">
        <v>500</v>
      </c>
    </row>
    <row r="61" spans="1:8" x14ac:dyDescent="0.25">
      <c r="A61" s="16" t="s">
        <v>120</v>
      </c>
      <c r="B61">
        <v>123</v>
      </c>
      <c r="C61">
        <v>0</v>
      </c>
      <c r="D61">
        <v>0</v>
      </c>
      <c r="E61">
        <v>0</v>
      </c>
      <c r="F61">
        <v>4</v>
      </c>
      <c r="G61">
        <v>0</v>
      </c>
      <c r="H61">
        <v>6</v>
      </c>
    </row>
    <row r="62" spans="1:8" x14ac:dyDescent="0.25">
      <c r="A62" s="16" t="s">
        <v>124</v>
      </c>
      <c r="B62">
        <f>123*5</f>
        <v>615</v>
      </c>
      <c r="C62">
        <v>0</v>
      </c>
      <c r="D62">
        <v>0</v>
      </c>
      <c r="E62">
        <v>0</v>
      </c>
      <c r="F62">
        <f>4*5</f>
        <v>20</v>
      </c>
      <c r="G62">
        <v>0</v>
      </c>
      <c r="H62">
        <f>6*5</f>
        <v>30</v>
      </c>
    </row>
    <row r="63" spans="1:8" x14ac:dyDescent="0.25">
      <c r="A63" s="16" t="s">
        <v>284</v>
      </c>
      <c r="B63">
        <v>5</v>
      </c>
      <c r="C63">
        <v>0</v>
      </c>
      <c r="D63">
        <v>0</v>
      </c>
      <c r="E63">
        <v>0</v>
      </c>
      <c r="F63">
        <v>1</v>
      </c>
      <c r="G63">
        <v>0</v>
      </c>
      <c r="H63">
        <v>0</v>
      </c>
    </row>
    <row r="64" spans="1:8" x14ac:dyDescent="0.25">
      <c r="A64" s="16" t="s">
        <v>122</v>
      </c>
      <c r="B64">
        <v>100</v>
      </c>
      <c r="C64">
        <v>0</v>
      </c>
      <c r="D64">
        <v>0</v>
      </c>
      <c r="E64">
        <v>0</v>
      </c>
      <c r="F64">
        <v>25</v>
      </c>
      <c r="G64">
        <v>2</v>
      </c>
      <c r="H64">
        <v>0</v>
      </c>
    </row>
    <row r="65" spans="1:8" x14ac:dyDescent="0.25">
      <c r="A65" s="16" t="s">
        <v>123</v>
      </c>
      <c r="B65">
        <v>200</v>
      </c>
      <c r="C65">
        <v>0</v>
      </c>
      <c r="D65">
        <v>0</v>
      </c>
      <c r="E65">
        <v>0</v>
      </c>
      <c r="F65">
        <v>50</v>
      </c>
      <c r="G65">
        <v>4</v>
      </c>
      <c r="H65">
        <v>0</v>
      </c>
    </row>
    <row r="66" spans="1:8" x14ac:dyDescent="0.25">
      <c r="A66" s="16" t="s">
        <v>134</v>
      </c>
      <c r="B66">
        <v>42</v>
      </c>
      <c r="C66">
        <v>0.4</v>
      </c>
      <c r="D66">
        <v>0</v>
      </c>
      <c r="E66">
        <v>1</v>
      </c>
      <c r="F66">
        <v>10</v>
      </c>
      <c r="G66">
        <v>2.2000000000000002</v>
      </c>
      <c r="H66">
        <v>412</v>
      </c>
    </row>
    <row r="67" spans="1:8" x14ac:dyDescent="0.25">
      <c r="A67" s="16" t="s">
        <v>135</v>
      </c>
      <c r="B67">
        <v>22.1</v>
      </c>
      <c r="C67">
        <v>0.2</v>
      </c>
      <c r="D67">
        <v>0</v>
      </c>
      <c r="E67">
        <v>1.1000000000000001</v>
      </c>
      <c r="F67">
        <v>4.8</v>
      </c>
      <c r="G67">
        <v>1.5</v>
      </c>
      <c r="H67">
        <v>6.2</v>
      </c>
    </row>
    <row r="68" spans="1:8" x14ac:dyDescent="0.25">
      <c r="A68" s="16" t="s">
        <v>136</v>
      </c>
      <c r="B68">
        <v>190</v>
      </c>
      <c r="C68">
        <v>18</v>
      </c>
      <c r="D68">
        <v>1.5</v>
      </c>
      <c r="E68">
        <v>4</v>
      </c>
      <c r="F68">
        <v>4</v>
      </c>
      <c r="G68">
        <v>2</v>
      </c>
      <c r="H68">
        <v>0</v>
      </c>
    </row>
    <row r="69" spans="1:8" x14ac:dyDescent="0.25">
      <c r="A69" s="16" t="s">
        <v>137</v>
      </c>
      <c r="B69">
        <v>100</v>
      </c>
      <c r="C69">
        <v>8</v>
      </c>
      <c r="D69">
        <v>5</v>
      </c>
      <c r="E69">
        <v>7</v>
      </c>
      <c r="F69">
        <v>0</v>
      </c>
      <c r="G69">
        <v>0</v>
      </c>
      <c r="H69">
        <v>170</v>
      </c>
    </row>
    <row r="70" spans="1:8" x14ac:dyDescent="0.25">
      <c r="A70" s="16" t="s">
        <v>152</v>
      </c>
      <c r="B70">
        <v>100</v>
      </c>
      <c r="C70">
        <v>8</v>
      </c>
      <c r="D70">
        <v>4.5</v>
      </c>
      <c r="E70">
        <v>5</v>
      </c>
      <c r="F70">
        <v>2</v>
      </c>
      <c r="G70">
        <v>0</v>
      </c>
      <c r="H70">
        <v>360</v>
      </c>
    </row>
    <row r="71" spans="1:8" x14ac:dyDescent="0.25">
      <c r="A71" s="16" t="s">
        <v>155</v>
      </c>
      <c r="B71">
        <v>240</v>
      </c>
      <c r="C71">
        <v>2</v>
      </c>
      <c r="D71">
        <v>0</v>
      </c>
      <c r="E71">
        <v>2</v>
      </c>
      <c r="F71">
        <v>54</v>
      </c>
      <c r="G71">
        <v>1</v>
      </c>
      <c r="H71">
        <v>490</v>
      </c>
    </row>
    <row r="72" spans="1:8" x14ac:dyDescent="0.25">
      <c r="A72" s="16" t="s">
        <v>156</v>
      </c>
      <c r="B72">
        <f>240*6</f>
        <v>1440</v>
      </c>
      <c r="C72">
        <v>12</v>
      </c>
      <c r="D72">
        <v>0</v>
      </c>
      <c r="E72">
        <v>12</v>
      </c>
      <c r="F72">
        <f>54*6</f>
        <v>324</v>
      </c>
      <c r="G72">
        <v>6</v>
      </c>
      <c r="H72">
        <f>490*6</f>
        <v>2940</v>
      </c>
    </row>
    <row r="73" spans="1:8" x14ac:dyDescent="0.25">
      <c r="A73" s="16" t="s">
        <v>158</v>
      </c>
      <c r="B73">
        <v>100</v>
      </c>
      <c r="C73">
        <v>8</v>
      </c>
      <c r="D73">
        <v>4.5</v>
      </c>
      <c r="E73">
        <v>5</v>
      </c>
      <c r="F73">
        <v>2</v>
      </c>
      <c r="G73">
        <v>1</v>
      </c>
      <c r="H73">
        <v>360</v>
      </c>
    </row>
    <row r="74" spans="1:8" x14ac:dyDescent="0.25">
      <c r="A74" s="16" t="s">
        <v>164</v>
      </c>
      <c r="B74">
        <v>130</v>
      </c>
      <c r="C74">
        <v>3</v>
      </c>
      <c r="D74">
        <v>0</v>
      </c>
      <c r="E74">
        <v>3</v>
      </c>
      <c r="F74">
        <v>23</v>
      </c>
      <c r="G74">
        <v>2</v>
      </c>
      <c r="H74">
        <v>620</v>
      </c>
    </row>
    <row r="75" spans="1:8" x14ac:dyDescent="0.25">
      <c r="A75" s="16" t="s">
        <v>170</v>
      </c>
      <c r="B75">
        <v>60</v>
      </c>
      <c r="C75">
        <v>4</v>
      </c>
      <c r="D75">
        <v>2.5</v>
      </c>
      <c r="E75">
        <v>5</v>
      </c>
      <c r="F75">
        <v>1</v>
      </c>
      <c r="G75">
        <v>0</v>
      </c>
      <c r="H75">
        <v>140</v>
      </c>
    </row>
    <row r="76" spans="1:8" x14ac:dyDescent="0.25">
      <c r="A76" s="16" t="s">
        <v>169</v>
      </c>
      <c r="B76">
        <v>80</v>
      </c>
      <c r="C76">
        <v>6</v>
      </c>
      <c r="D76">
        <v>4</v>
      </c>
      <c r="E76">
        <v>5</v>
      </c>
      <c r="F76">
        <v>0</v>
      </c>
      <c r="G76">
        <v>0</v>
      </c>
      <c r="H76">
        <v>130</v>
      </c>
    </row>
    <row r="77" spans="1:8" x14ac:dyDescent="0.25">
      <c r="A77" s="16" t="s">
        <v>173</v>
      </c>
      <c r="B77">
        <v>330</v>
      </c>
      <c r="C77">
        <v>2.5</v>
      </c>
      <c r="D77">
        <v>0.5</v>
      </c>
      <c r="E77">
        <v>23</v>
      </c>
      <c r="F77">
        <v>61</v>
      </c>
      <c r="G77">
        <v>11</v>
      </c>
      <c r="H77">
        <v>0</v>
      </c>
    </row>
    <row r="78" spans="1:8" x14ac:dyDescent="0.25">
      <c r="A78" s="16" t="s">
        <v>174</v>
      </c>
      <c r="B78">
        <v>8</v>
      </c>
      <c r="C78">
        <v>0</v>
      </c>
      <c r="D78">
        <v>0</v>
      </c>
      <c r="E78">
        <v>0.77</v>
      </c>
      <c r="F78">
        <v>1.1000000000000001</v>
      </c>
      <c r="G78">
        <v>0.5</v>
      </c>
      <c r="H78">
        <v>8</v>
      </c>
    </row>
    <row r="79" spans="1:8" x14ac:dyDescent="0.25">
      <c r="A79" s="16" t="s">
        <v>179</v>
      </c>
      <c r="B79">
        <f>SUM(B66*2,B48*4,B38,B37,B68*4)/4</f>
        <v>350.25</v>
      </c>
      <c r="C79">
        <f t="shared" ref="C79:H79" si="2">SUM(C66*2,C48*4,C38,C37,C68*4)/4</f>
        <v>32.200000000000003</v>
      </c>
      <c r="D79">
        <f t="shared" si="2"/>
        <v>3.5</v>
      </c>
      <c r="E79">
        <f t="shared" si="2"/>
        <v>5</v>
      </c>
      <c r="F79">
        <f t="shared" si="2"/>
        <v>13.25</v>
      </c>
      <c r="G79">
        <f t="shared" si="2"/>
        <v>4.3499999999999996</v>
      </c>
      <c r="H79">
        <f t="shared" si="2"/>
        <v>207.25</v>
      </c>
    </row>
    <row r="80" spans="1:8" x14ac:dyDescent="0.25">
      <c r="A80" s="16" t="s">
        <v>180</v>
      </c>
      <c r="B80">
        <f>SUM(B35,B60*3)/4</f>
        <v>132.5</v>
      </c>
      <c r="C80">
        <f t="shared" ref="C80:H80" si="3">SUM(C35,C60*3)/4</f>
        <v>6</v>
      </c>
      <c r="D80">
        <f t="shared" si="3"/>
        <v>2.75</v>
      </c>
      <c r="E80">
        <f t="shared" si="3"/>
        <v>7.25</v>
      </c>
      <c r="F80">
        <f t="shared" si="3"/>
        <v>14.75</v>
      </c>
      <c r="G80">
        <f t="shared" si="3"/>
        <v>3.5</v>
      </c>
      <c r="H80">
        <f t="shared" si="3"/>
        <v>462.5</v>
      </c>
    </row>
    <row r="81" spans="1:8" x14ac:dyDescent="0.25">
      <c r="A81" s="16" t="s">
        <v>182</v>
      </c>
      <c r="B81">
        <v>118</v>
      </c>
      <c r="C81">
        <v>0</v>
      </c>
      <c r="D81">
        <v>0</v>
      </c>
      <c r="E81">
        <v>2</v>
      </c>
      <c r="F81">
        <v>28</v>
      </c>
      <c r="G81">
        <v>4</v>
      </c>
      <c r="H81">
        <v>9</v>
      </c>
    </row>
    <row r="82" spans="1:8" x14ac:dyDescent="0.25">
      <c r="A82" s="16" t="s">
        <v>192</v>
      </c>
      <c r="B82">
        <v>100</v>
      </c>
      <c r="C82">
        <v>1</v>
      </c>
      <c r="D82">
        <v>0</v>
      </c>
      <c r="E82">
        <v>2</v>
      </c>
      <c r="F82">
        <v>21</v>
      </c>
      <c r="G82">
        <v>2</v>
      </c>
      <c r="H82">
        <v>60</v>
      </c>
    </row>
    <row r="83" spans="1:8" x14ac:dyDescent="0.25">
      <c r="A83" s="16" t="s">
        <v>193</v>
      </c>
      <c r="B83">
        <v>60</v>
      </c>
      <c r="C83">
        <v>5</v>
      </c>
      <c r="D83">
        <v>3.5</v>
      </c>
      <c r="E83">
        <v>1</v>
      </c>
      <c r="F83">
        <v>0</v>
      </c>
      <c r="G83">
        <v>1</v>
      </c>
      <c r="H83">
        <v>15</v>
      </c>
    </row>
    <row r="84" spans="1:8" x14ac:dyDescent="0.25">
      <c r="A84" s="16" t="s">
        <v>254</v>
      </c>
      <c r="B84">
        <v>36</v>
      </c>
      <c r="C84">
        <v>0</v>
      </c>
      <c r="D84">
        <v>0</v>
      </c>
      <c r="E84">
        <v>1</v>
      </c>
      <c r="F84">
        <v>7</v>
      </c>
      <c r="G84">
        <v>1</v>
      </c>
      <c r="H84">
        <v>18</v>
      </c>
    </row>
    <row r="85" spans="1:8" x14ac:dyDescent="0.25">
      <c r="A85" s="16" t="s">
        <v>259</v>
      </c>
      <c r="B85">
        <v>40</v>
      </c>
      <c r="C85">
        <v>3</v>
      </c>
      <c r="D85">
        <v>0</v>
      </c>
      <c r="E85">
        <v>1</v>
      </c>
      <c r="F85">
        <v>2</v>
      </c>
      <c r="G85">
        <v>1</v>
      </c>
      <c r="H85">
        <v>180</v>
      </c>
    </row>
    <row r="86" spans="1:8" x14ac:dyDescent="0.25">
      <c r="A86" s="16" t="s">
        <v>260</v>
      </c>
      <c r="B86">
        <v>200</v>
      </c>
      <c r="C86">
        <v>20</v>
      </c>
      <c r="D86">
        <v>2</v>
      </c>
      <c r="E86">
        <v>5</v>
      </c>
      <c r="F86">
        <v>4</v>
      </c>
      <c r="G86">
        <v>2</v>
      </c>
      <c r="H86">
        <v>0</v>
      </c>
    </row>
    <row r="87" spans="1:8" x14ac:dyDescent="0.25">
      <c r="A87" s="16" t="s">
        <v>261</v>
      </c>
      <c r="B87">
        <v>10</v>
      </c>
      <c r="C87">
        <v>0.5</v>
      </c>
      <c r="D87">
        <v>0</v>
      </c>
      <c r="E87">
        <v>1</v>
      </c>
      <c r="F87">
        <v>3</v>
      </c>
      <c r="G87">
        <v>1</v>
      </c>
      <c r="H87">
        <v>0</v>
      </c>
    </row>
    <row r="88" spans="1:8" x14ac:dyDescent="0.25">
      <c r="A88" s="16" t="s">
        <v>267</v>
      </c>
      <c r="B88">
        <f>SUM(B89:B94)</f>
        <v>788</v>
      </c>
      <c r="C88">
        <f t="shared" ref="C88:H88" si="4">SUM(C89:C94)</f>
        <v>24.34</v>
      </c>
      <c r="D88">
        <f t="shared" si="4"/>
        <v>6.54</v>
      </c>
      <c r="E88">
        <f t="shared" si="4"/>
        <v>51</v>
      </c>
      <c r="F88">
        <f t="shared" si="4"/>
        <v>101</v>
      </c>
      <c r="G88">
        <f t="shared" si="4"/>
        <v>23</v>
      </c>
      <c r="H88">
        <f t="shared" si="4"/>
        <v>845.03</v>
      </c>
    </row>
    <row r="89" spans="1:8" x14ac:dyDescent="0.25">
      <c r="A89" s="16" t="s">
        <v>266</v>
      </c>
      <c r="B89">
        <v>330</v>
      </c>
      <c r="C89">
        <v>2.5</v>
      </c>
      <c r="D89">
        <v>0.5</v>
      </c>
      <c r="E89">
        <v>23</v>
      </c>
      <c r="F89">
        <v>61</v>
      </c>
      <c r="G89">
        <v>11</v>
      </c>
      <c r="H89">
        <v>0</v>
      </c>
    </row>
    <row r="90" spans="1:8" x14ac:dyDescent="0.25">
      <c r="A90" s="16" t="s">
        <v>66</v>
      </c>
      <c r="B90">
        <v>31</v>
      </c>
      <c r="C90">
        <v>0.34</v>
      </c>
      <c r="D90">
        <v>0.04</v>
      </c>
      <c r="E90">
        <v>3</v>
      </c>
      <c r="F90">
        <v>6</v>
      </c>
      <c r="G90">
        <v>2</v>
      </c>
      <c r="H90">
        <v>30.03</v>
      </c>
    </row>
    <row r="91" spans="1:8" x14ac:dyDescent="0.25">
      <c r="A91" s="16" t="s">
        <v>67</v>
      </c>
      <c r="B91">
        <v>37</v>
      </c>
      <c r="C91">
        <v>0</v>
      </c>
      <c r="D91">
        <v>0</v>
      </c>
      <c r="E91">
        <v>1</v>
      </c>
      <c r="F91">
        <v>7</v>
      </c>
      <c r="G91">
        <v>2</v>
      </c>
      <c r="H91">
        <v>5</v>
      </c>
    </row>
    <row r="92" spans="1:8" x14ac:dyDescent="0.25">
      <c r="A92" s="16" t="s">
        <v>116</v>
      </c>
      <c r="B92">
        <v>40</v>
      </c>
      <c r="C92">
        <v>0</v>
      </c>
      <c r="D92">
        <v>0</v>
      </c>
      <c r="E92">
        <v>1</v>
      </c>
      <c r="F92">
        <v>10</v>
      </c>
      <c r="G92">
        <v>3</v>
      </c>
      <c r="H92">
        <v>0</v>
      </c>
    </row>
    <row r="93" spans="1:8" x14ac:dyDescent="0.25">
      <c r="A93" s="16" t="s">
        <v>181</v>
      </c>
      <c r="B93">
        <v>260</v>
      </c>
      <c r="C93">
        <v>18</v>
      </c>
      <c r="D93">
        <v>5</v>
      </c>
      <c r="E93">
        <v>20</v>
      </c>
      <c r="F93">
        <v>5</v>
      </c>
      <c r="G93">
        <v>2</v>
      </c>
      <c r="H93">
        <v>350</v>
      </c>
    </row>
    <row r="94" spans="1:8" x14ac:dyDescent="0.25">
      <c r="A94" s="16" t="s">
        <v>268</v>
      </c>
      <c r="B94">
        <v>90</v>
      </c>
      <c r="C94">
        <v>3.5</v>
      </c>
      <c r="D94">
        <v>1</v>
      </c>
      <c r="E94">
        <v>3</v>
      </c>
      <c r="F94">
        <v>12</v>
      </c>
      <c r="G94">
        <v>3</v>
      </c>
      <c r="H94">
        <v>460</v>
      </c>
    </row>
    <row r="95" spans="1:8" x14ac:dyDescent="0.25">
      <c r="A95" s="16" t="s">
        <v>269</v>
      </c>
      <c r="B95">
        <v>60</v>
      </c>
      <c r="C95">
        <v>0</v>
      </c>
      <c r="D95">
        <v>0</v>
      </c>
      <c r="E95">
        <v>0</v>
      </c>
      <c r="F95">
        <v>17</v>
      </c>
      <c r="G95">
        <v>0</v>
      </c>
      <c r="H95">
        <v>0</v>
      </c>
    </row>
    <row r="96" spans="1:8" x14ac:dyDescent="0.25">
      <c r="A96" s="16" t="s">
        <v>276</v>
      </c>
      <c r="B96">
        <v>70</v>
      </c>
      <c r="C96">
        <v>5</v>
      </c>
      <c r="D96">
        <v>3</v>
      </c>
      <c r="E96">
        <v>5</v>
      </c>
      <c r="F96">
        <v>0</v>
      </c>
      <c r="G96">
        <v>0</v>
      </c>
      <c r="H96">
        <v>170</v>
      </c>
    </row>
    <row r="97" spans="1:8" x14ac:dyDescent="0.25">
      <c r="A97" s="16" t="s">
        <v>279</v>
      </c>
      <c r="B97">
        <v>30</v>
      </c>
      <c r="C97">
        <v>0</v>
      </c>
      <c r="D97">
        <v>0</v>
      </c>
      <c r="E97">
        <v>2</v>
      </c>
      <c r="F97">
        <v>6</v>
      </c>
      <c r="G97">
        <v>2</v>
      </c>
      <c r="H97">
        <v>5</v>
      </c>
    </row>
    <row r="98" spans="1:8" x14ac:dyDescent="0.25">
      <c r="A98" s="16" t="s">
        <v>282</v>
      </c>
      <c r="B98">
        <f>SUM(B97*8,B38,B39,B35*4,B48,B60)</f>
        <v>1557</v>
      </c>
      <c r="C98">
        <f t="shared" ref="C98:H98" si="5">SUM(C97*8,C38,C39,C35*4,C48,C60)</f>
        <v>88</v>
      </c>
      <c r="D98">
        <f t="shared" si="5"/>
        <v>24</v>
      </c>
      <c r="E98">
        <f t="shared" si="5"/>
        <v>101</v>
      </c>
      <c r="F98">
        <f t="shared" si="5"/>
        <v>102</v>
      </c>
      <c r="G98">
        <f t="shared" si="5"/>
        <v>32</v>
      </c>
      <c r="H98">
        <f t="shared" si="5"/>
        <v>1942</v>
      </c>
    </row>
    <row r="99" spans="1:8" x14ac:dyDescent="0.25">
      <c r="A99" s="16" t="s">
        <v>286</v>
      </c>
      <c r="B99">
        <f>122*8/5</f>
        <v>195.2</v>
      </c>
      <c r="C99">
        <v>0</v>
      </c>
      <c r="D99">
        <v>0</v>
      </c>
      <c r="E99">
        <v>0</v>
      </c>
      <c r="F99">
        <f>4*8/5</f>
        <v>6.4</v>
      </c>
      <c r="G99">
        <v>0</v>
      </c>
      <c r="H99">
        <v>0</v>
      </c>
    </row>
    <row r="100" spans="1:8" x14ac:dyDescent="0.25">
      <c r="A100" s="16" t="s">
        <v>287</v>
      </c>
      <c r="B100">
        <f>122*12/5</f>
        <v>292.8</v>
      </c>
      <c r="C100">
        <v>0</v>
      </c>
      <c r="D100">
        <v>0</v>
      </c>
      <c r="E100">
        <v>0</v>
      </c>
      <c r="F100">
        <f>4*12/5</f>
        <v>9.6</v>
      </c>
      <c r="G100">
        <v>0</v>
      </c>
      <c r="H100">
        <v>0</v>
      </c>
    </row>
    <row r="101" spans="1:8" x14ac:dyDescent="0.25">
      <c r="A101" s="16" t="s">
        <v>288</v>
      </c>
      <c r="B101">
        <v>110</v>
      </c>
      <c r="C101">
        <v>0.5</v>
      </c>
      <c r="D101">
        <v>0</v>
      </c>
      <c r="E101">
        <v>2</v>
      </c>
      <c r="F101">
        <v>25</v>
      </c>
      <c r="G101">
        <v>1</v>
      </c>
      <c r="H101">
        <v>310</v>
      </c>
    </row>
    <row r="102" spans="1:8" x14ac:dyDescent="0.25">
      <c r="A102" s="16" t="s">
        <v>289</v>
      </c>
      <c r="B102">
        <f>110*3</f>
        <v>330</v>
      </c>
      <c r="C102">
        <f>3*0.5</f>
        <v>1.5</v>
      </c>
      <c r="D102">
        <v>0</v>
      </c>
      <c r="E102">
        <f>3*2</f>
        <v>6</v>
      </c>
      <c r="F102">
        <f>3*25</f>
        <v>75</v>
      </c>
      <c r="G102">
        <f>3*1</f>
        <v>3</v>
      </c>
      <c r="H102">
        <f>3*310</f>
        <v>930</v>
      </c>
    </row>
    <row r="103" spans="1:8" x14ac:dyDescent="0.25">
      <c r="A103" s="16" t="s">
        <v>294</v>
      </c>
      <c r="B103">
        <f>290*5</f>
        <v>1450</v>
      </c>
      <c r="C103">
        <f>1.5*5</f>
        <v>7.5</v>
      </c>
      <c r="D103">
        <f>0*5</f>
        <v>0</v>
      </c>
      <c r="E103">
        <f>21*5</f>
        <v>105</v>
      </c>
      <c r="F103">
        <f>50*5</f>
        <v>250</v>
      </c>
      <c r="G103">
        <f>5*5</f>
        <v>25</v>
      </c>
      <c r="H103">
        <f>0*5</f>
        <v>0</v>
      </c>
    </row>
    <row r="104" spans="1:8" x14ac:dyDescent="0.25">
      <c r="A104" s="16" t="s">
        <v>295</v>
      </c>
      <c r="B104">
        <f>70*5</f>
        <v>350</v>
      </c>
      <c r="C104">
        <f>1.5*5</f>
        <v>7.5</v>
      </c>
      <c r="D104">
        <f>0*5</f>
        <v>0</v>
      </c>
      <c r="E104">
        <f>3*5</f>
        <v>15</v>
      </c>
      <c r="F104">
        <f>10*5</f>
        <v>50</v>
      </c>
      <c r="G104">
        <f>1*5</f>
        <v>5</v>
      </c>
      <c r="H104">
        <f>360*5</f>
        <v>1800</v>
      </c>
    </row>
    <row r="105" spans="1:8" x14ac:dyDescent="0.25">
      <c r="A105" s="16" t="s">
        <v>296</v>
      </c>
      <c r="B105">
        <f>SUM(B103,B104,B97*3)</f>
        <v>1890</v>
      </c>
      <c r="C105">
        <f t="shared" ref="C105:G105" si="6">SUM(C103,C104,C97*3)</f>
        <v>15</v>
      </c>
      <c r="D105">
        <f t="shared" si="6"/>
        <v>0</v>
      </c>
      <c r="E105">
        <f t="shared" si="6"/>
        <v>126</v>
      </c>
      <c r="F105">
        <f t="shared" si="6"/>
        <v>318</v>
      </c>
      <c r="G105">
        <f t="shared" si="6"/>
        <v>36</v>
      </c>
      <c r="H105">
        <f>SUM(H103,H104,H97*3)</f>
        <v>1815</v>
      </c>
    </row>
    <row r="106" spans="1:8" x14ac:dyDescent="0.25">
      <c r="A106" s="16" t="s">
        <v>307</v>
      </c>
      <c r="B106">
        <v>70</v>
      </c>
      <c r="C106">
        <v>1.5</v>
      </c>
      <c r="D106">
        <v>0.5</v>
      </c>
      <c r="E106">
        <v>2</v>
      </c>
      <c r="F106">
        <v>11</v>
      </c>
      <c r="G106">
        <v>1</v>
      </c>
      <c r="H106">
        <v>480</v>
      </c>
    </row>
    <row r="107" spans="1:8" x14ac:dyDescent="0.25">
      <c r="A107" s="16" t="s">
        <v>306</v>
      </c>
      <c r="B107">
        <f>SUM(B106*5,B92/4,B39/4,B35*4,B34*4)</f>
        <v>2206.75</v>
      </c>
      <c r="C107">
        <f t="shared" ref="C107:H107" si="7">SUM(C106*5,C92/4,C39/4,C35*4,C34*4)</f>
        <v>83.5</v>
      </c>
      <c r="D107">
        <f t="shared" si="7"/>
        <v>22.5</v>
      </c>
      <c r="E107">
        <f t="shared" si="7"/>
        <v>106.5</v>
      </c>
      <c r="F107">
        <f t="shared" si="7"/>
        <v>255</v>
      </c>
      <c r="G107">
        <f t="shared" si="7"/>
        <v>18</v>
      </c>
      <c r="H107">
        <f t="shared" si="7"/>
        <v>3800.5</v>
      </c>
    </row>
    <row r="108" spans="1:8" x14ac:dyDescent="0.25">
      <c r="A108" s="16" t="s">
        <v>309</v>
      </c>
      <c r="B108">
        <f>B107/4</f>
        <v>551.6875</v>
      </c>
      <c r="C108">
        <f t="shared" ref="C108:H108" si="8">C107/4</f>
        <v>20.875</v>
      </c>
      <c r="D108">
        <f t="shared" si="8"/>
        <v>5.625</v>
      </c>
      <c r="E108">
        <f t="shared" si="8"/>
        <v>26.625</v>
      </c>
      <c r="F108">
        <f t="shared" si="8"/>
        <v>63.75</v>
      </c>
      <c r="G108">
        <f t="shared" si="8"/>
        <v>4.5</v>
      </c>
      <c r="H108">
        <f t="shared" si="8"/>
        <v>950.125</v>
      </c>
    </row>
    <row r="109" spans="1:8" x14ac:dyDescent="0.25">
      <c r="A109" s="16" t="s">
        <v>315</v>
      </c>
      <c r="B109">
        <v>190</v>
      </c>
      <c r="C109">
        <v>1</v>
      </c>
      <c r="D109">
        <v>0</v>
      </c>
      <c r="E109">
        <v>4</v>
      </c>
      <c r="F109">
        <v>44</v>
      </c>
      <c r="G109">
        <v>2</v>
      </c>
      <c r="H109">
        <v>0</v>
      </c>
    </row>
    <row r="110" spans="1:8" x14ac:dyDescent="0.25">
      <c r="A110" s="16" t="s">
        <v>314</v>
      </c>
      <c r="B110">
        <v>110</v>
      </c>
      <c r="C110">
        <v>11</v>
      </c>
      <c r="D110">
        <v>6</v>
      </c>
      <c r="E110">
        <v>2</v>
      </c>
      <c r="F110">
        <v>2</v>
      </c>
      <c r="G110">
        <v>0</v>
      </c>
      <c r="H110">
        <v>390</v>
      </c>
    </row>
    <row r="111" spans="1:8" x14ac:dyDescent="0.25">
      <c r="A111" s="16" t="s">
        <v>316</v>
      </c>
      <c r="B111">
        <f>SUM(B110*7,B109*6,B92,B91,B93*4.5,B48*2)</f>
        <v>3397</v>
      </c>
      <c r="C111">
        <f t="shared" ref="C111:H111" si="9">SUM(C110*7,C109*6,C92,C91,C93*4.5,C48*2)</f>
        <v>192</v>
      </c>
      <c r="D111">
        <f t="shared" si="9"/>
        <v>68.5</v>
      </c>
      <c r="E111">
        <f t="shared" si="9"/>
        <v>130</v>
      </c>
      <c r="F111">
        <f t="shared" si="9"/>
        <v>317.5</v>
      </c>
      <c r="G111">
        <f t="shared" si="9"/>
        <v>26</v>
      </c>
      <c r="H111">
        <f t="shared" si="9"/>
        <v>4310</v>
      </c>
    </row>
    <row r="112" spans="1:8" x14ac:dyDescent="0.25">
      <c r="A112" s="16" t="s">
        <v>317</v>
      </c>
      <c r="B112">
        <f>B111/5</f>
        <v>679.4</v>
      </c>
      <c r="C112">
        <f t="shared" ref="C112:H112" si="10">C111/5</f>
        <v>38.4</v>
      </c>
      <c r="D112">
        <f t="shared" si="10"/>
        <v>13.7</v>
      </c>
      <c r="E112">
        <f t="shared" si="10"/>
        <v>26</v>
      </c>
      <c r="F112">
        <f t="shared" si="10"/>
        <v>63.5</v>
      </c>
      <c r="G112">
        <f t="shared" si="10"/>
        <v>5.2</v>
      </c>
      <c r="H112">
        <f t="shared" si="10"/>
        <v>862</v>
      </c>
    </row>
    <row r="113" spans="2:8" x14ac:dyDescent="0.25">
      <c r="B113" s="17">
        <f>B112/2</f>
        <v>339.7</v>
      </c>
      <c r="C113" s="17">
        <f t="shared" ref="C113:H113" si="11">C112/2</f>
        <v>19.2</v>
      </c>
      <c r="D113" s="17">
        <f t="shared" si="11"/>
        <v>6.85</v>
      </c>
      <c r="E113" s="17">
        <f t="shared" si="11"/>
        <v>13</v>
      </c>
      <c r="F113" s="17">
        <f t="shared" si="11"/>
        <v>31.75</v>
      </c>
      <c r="G113" s="17">
        <f t="shared" si="11"/>
        <v>2.6</v>
      </c>
      <c r="H113" s="17">
        <f t="shared" si="11"/>
        <v>431</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researchMeasures</vt:lpstr>
      <vt:lpstr>dataDictionary</vt:lpstr>
      <vt:lpstr>NutritionalData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Janis Corona</dc:creator>
  <cp:lastModifiedBy>Janis Corona</cp:lastModifiedBy>
  <dcterms:created xsi:type="dcterms:W3CDTF">2015-06-05T18:17:20Z</dcterms:created>
  <dcterms:modified xsi:type="dcterms:W3CDTF">2021-02-24T05:24:08Z</dcterms:modified>
</cp:coreProperties>
</file>