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39F5CF6-A2EA-423E-818B-F940600452BE}"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96" i="1" l="1"/>
  <c r="AJ296" i="1"/>
  <c r="AK296" i="1"/>
  <c r="AL296" i="1"/>
  <c r="AM296" i="1"/>
  <c r="AN296" i="1"/>
  <c r="AH296" i="1"/>
  <c r="AG296" i="1"/>
  <c r="AF296" i="1"/>
  <c r="AE296" i="1"/>
  <c r="AD296" i="1"/>
  <c r="AC296" i="1"/>
  <c r="AB296" i="1"/>
  <c r="C658" i="4"/>
  <c r="D658" i="4"/>
  <c r="E658" i="4"/>
  <c r="F658" i="4"/>
  <c r="G658" i="4"/>
  <c r="H658" i="4"/>
  <c r="B658" i="4"/>
  <c r="H657" i="4"/>
  <c r="G657" i="4"/>
  <c r="F657" i="4"/>
  <c r="E657" i="4"/>
  <c r="D657" i="4"/>
  <c r="C657" i="4"/>
  <c r="B657" i="4"/>
  <c r="AH295" i="1"/>
  <c r="AG295" i="1"/>
  <c r="AF295" i="1"/>
  <c r="AE295" i="1"/>
  <c r="AD295" i="1"/>
  <c r="AC295" i="1"/>
  <c r="AB295" i="1"/>
  <c r="AH294" i="1"/>
  <c r="AG294" i="1"/>
  <c r="AF294" i="1"/>
  <c r="AE294" i="1"/>
  <c r="AD294" i="1"/>
  <c r="AC294" i="1"/>
  <c r="AB294" i="1"/>
  <c r="AK294" i="1" s="1"/>
  <c r="AI294" i="1"/>
  <c r="AJ294" i="1"/>
  <c r="AN294" i="1"/>
  <c r="AL295" i="1"/>
  <c r="AH293" i="1"/>
  <c r="AG293" i="1"/>
  <c r="AF293" i="1"/>
  <c r="AE293" i="1"/>
  <c r="AD293" i="1"/>
  <c r="AC293" i="1"/>
  <c r="AB293" i="1"/>
  <c r="AK293" i="1"/>
  <c r="AH292" i="1"/>
  <c r="AN292" i="1" s="1"/>
  <c r="AG292" i="1"/>
  <c r="AF292" i="1"/>
  <c r="AE292" i="1"/>
  <c r="AD292" i="1"/>
  <c r="AJ292" i="1" s="1"/>
  <c r="AC292" i="1"/>
  <c r="AB292" i="1"/>
  <c r="AK292" i="1" s="1"/>
  <c r="AH290" i="1"/>
  <c r="AG290" i="1"/>
  <c r="AF290" i="1"/>
  <c r="AE290" i="1"/>
  <c r="AD290" i="1"/>
  <c r="AC290" i="1"/>
  <c r="AB290" i="1"/>
  <c r="AH291" i="1"/>
  <c r="AN291" i="1" s="1"/>
  <c r="AG291" i="1"/>
  <c r="AM291" i="1" s="1"/>
  <c r="AF291" i="1"/>
  <c r="AE291" i="1"/>
  <c r="AD291" i="1"/>
  <c r="AC291" i="1"/>
  <c r="AB291" i="1"/>
  <c r="AH289" i="1"/>
  <c r="AG289" i="1"/>
  <c r="AF289" i="1"/>
  <c r="AL289" i="1" s="1"/>
  <c r="AE289" i="1"/>
  <c r="AD289" i="1"/>
  <c r="AC289" i="1"/>
  <c r="AB289" i="1"/>
  <c r="AI289" i="1" s="1"/>
  <c r="AH288" i="1"/>
  <c r="AG288" i="1"/>
  <c r="AF288" i="1"/>
  <c r="AL288" i="1" s="1"/>
  <c r="AE288" i="1"/>
  <c r="AK288" i="1" s="1"/>
  <c r="AD288" i="1"/>
  <c r="AC288" i="1"/>
  <c r="AB288" i="1"/>
  <c r="AH287" i="1"/>
  <c r="AG287" i="1"/>
  <c r="AF287" i="1"/>
  <c r="AE287" i="1"/>
  <c r="AK287" i="1" s="1"/>
  <c r="AD287" i="1"/>
  <c r="AC287" i="1"/>
  <c r="AI287" i="1" s="1"/>
  <c r="AB287" i="1"/>
  <c r="M288" i="1" s="1"/>
  <c r="AH286" i="1"/>
  <c r="AG286" i="1"/>
  <c r="AF286" i="1"/>
  <c r="AE286" i="1"/>
  <c r="AD286" i="1"/>
  <c r="AC286" i="1"/>
  <c r="AB286" i="1"/>
  <c r="AI286" i="1" s="1"/>
  <c r="AH285" i="1"/>
  <c r="AG285" i="1"/>
  <c r="AF285" i="1"/>
  <c r="AE285" i="1"/>
  <c r="AD285" i="1"/>
  <c r="AC285" i="1"/>
  <c r="AI285" i="1" s="1"/>
  <c r="AB285" i="1"/>
  <c r="AK285" i="1" s="1"/>
  <c r="AH284" i="1"/>
  <c r="AG284" i="1"/>
  <c r="AF284" i="1"/>
  <c r="AE284" i="1"/>
  <c r="AD284" i="1"/>
  <c r="AJ284" i="1" s="1"/>
  <c r="AC284" i="1"/>
  <c r="AB284" i="1"/>
  <c r="AH283" i="1"/>
  <c r="AG283" i="1"/>
  <c r="AF283" i="1"/>
  <c r="AE283" i="1"/>
  <c r="AD283" i="1"/>
  <c r="AC283" i="1"/>
  <c r="AI283" i="1" s="1"/>
  <c r="AB283" i="1"/>
  <c r="AJ283" i="1" s="1"/>
  <c r="L293" i="1"/>
  <c r="M293" i="1"/>
  <c r="AI291" i="1"/>
  <c r="BM291" i="1"/>
  <c r="BM290" i="1"/>
  <c r="L290" i="1"/>
  <c r="L289" i="1"/>
  <c r="AJ287" i="1"/>
  <c r="AL287" i="1"/>
  <c r="AM287" i="1"/>
  <c r="L286" i="1"/>
  <c r="L288" i="1"/>
  <c r="L285" i="1"/>
  <c r="M285" i="1"/>
  <c r="L284" i="1"/>
  <c r="L277" i="1"/>
  <c r="L278" i="1"/>
  <c r="L279" i="1"/>
  <c r="M279" i="1"/>
  <c r="L280" i="1"/>
  <c r="M280" i="1"/>
  <c r="L282" i="1"/>
  <c r="L283" i="1"/>
  <c r="M283" i="1"/>
  <c r="AH282" i="1"/>
  <c r="AN282" i="1" s="1"/>
  <c r="AG282" i="1"/>
  <c r="AF282" i="1"/>
  <c r="AE282" i="1"/>
  <c r="AD282" i="1"/>
  <c r="AC282" i="1"/>
  <c r="AB282" i="1"/>
  <c r="AH281" i="1"/>
  <c r="AG281" i="1"/>
  <c r="AF281" i="1"/>
  <c r="AL281" i="1" s="1"/>
  <c r="AE281" i="1"/>
  <c r="AK281" i="1" s="1"/>
  <c r="AD281" i="1"/>
  <c r="AC281" i="1"/>
  <c r="AB281" i="1"/>
  <c r="AH280" i="1"/>
  <c r="AN280" i="1" s="1"/>
  <c r="AG280" i="1"/>
  <c r="AF280" i="1"/>
  <c r="AE280" i="1"/>
  <c r="AD280" i="1"/>
  <c r="AC280" i="1"/>
  <c r="AB280" i="1"/>
  <c r="AI280" i="1" s="1"/>
  <c r="AB279" i="1"/>
  <c r="AC279" i="1"/>
  <c r="AD279" i="1"/>
  <c r="AE279" i="1"/>
  <c r="AF279" i="1"/>
  <c r="AH279" i="1"/>
  <c r="AG279" i="1"/>
  <c r="AH278" i="1"/>
  <c r="AG278" i="1"/>
  <c r="AM278" i="1" s="1"/>
  <c r="AF278" i="1"/>
  <c r="AE278" i="1"/>
  <c r="AD278" i="1"/>
  <c r="AC278" i="1"/>
  <c r="AI278" i="1" s="1"/>
  <c r="AB278" i="1"/>
  <c r="AN278" i="1" s="1"/>
  <c r="AH277" i="1"/>
  <c r="AG277" i="1"/>
  <c r="AF277" i="1"/>
  <c r="AE277" i="1"/>
  <c r="AD277" i="1"/>
  <c r="AC277" i="1"/>
  <c r="AI277" i="1" s="1"/>
  <c r="AB277" i="1"/>
  <c r="AJ277" i="1" s="1"/>
  <c r="AH276" i="1"/>
  <c r="AG276" i="1"/>
  <c r="AF276" i="1"/>
  <c r="AE276" i="1"/>
  <c r="AD276" i="1"/>
  <c r="AC276" i="1"/>
  <c r="AB276" i="1"/>
  <c r="AK276" i="1" s="1"/>
  <c r="H642" i="4"/>
  <c r="G642" i="4"/>
  <c r="F642" i="4"/>
  <c r="E642" i="4"/>
  <c r="D642" i="4"/>
  <c r="C642" i="4"/>
  <c r="B642" i="4"/>
  <c r="AI276" i="1"/>
  <c r="AJ276" i="1"/>
  <c r="AI279" i="1"/>
  <c r="AJ279" i="1"/>
  <c r="AK279" i="1"/>
  <c r="AM280" i="1"/>
  <c r="H637" i="4"/>
  <c r="G637" i="4"/>
  <c r="F637" i="4"/>
  <c r="E637" i="4"/>
  <c r="D637" i="4"/>
  <c r="C637" i="4"/>
  <c r="B637" i="4"/>
  <c r="H634" i="4"/>
  <c r="G634" i="4"/>
  <c r="F634" i="4"/>
  <c r="E634" i="4"/>
  <c r="D634" i="4"/>
  <c r="C634" i="4"/>
  <c r="B634" i="4"/>
  <c r="AH275" i="1"/>
  <c r="AG275" i="1"/>
  <c r="AF275" i="1"/>
  <c r="AE275" i="1"/>
  <c r="AD275" i="1"/>
  <c r="AC275" i="1"/>
  <c r="AB275" i="1"/>
  <c r="M276" i="1" s="1"/>
  <c r="L276" i="1"/>
  <c r="AH274" i="1"/>
  <c r="AG274" i="1"/>
  <c r="AF274" i="1"/>
  <c r="AE274" i="1"/>
  <c r="AD274" i="1"/>
  <c r="AC274" i="1"/>
  <c r="AB274" i="1"/>
  <c r="AM274" i="1" s="1"/>
  <c r="AH273" i="1"/>
  <c r="AG273" i="1"/>
  <c r="AF273" i="1"/>
  <c r="AE273" i="1"/>
  <c r="AD273" i="1"/>
  <c r="AC273" i="1"/>
  <c r="AB273" i="1"/>
  <c r="AL273" i="1" s="1"/>
  <c r="AH272" i="1"/>
  <c r="AG272" i="1"/>
  <c r="AF272" i="1"/>
  <c r="AE272" i="1"/>
  <c r="AD272" i="1"/>
  <c r="AC272" i="1"/>
  <c r="AB272" i="1"/>
  <c r="H629" i="4"/>
  <c r="G629" i="4"/>
  <c r="F629" i="4"/>
  <c r="E629" i="4"/>
  <c r="D629" i="4"/>
  <c r="C629" i="4"/>
  <c r="B629" i="4"/>
  <c r="AL274" i="1"/>
  <c r="L272" i="1"/>
  <c r="M272" i="1"/>
  <c r="L273" i="1"/>
  <c r="L274" i="1"/>
  <c r="L275" i="1"/>
  <c r="AH271" i="1"/>
  <c r="AN271" i="1" s="1"/>
  <c r="AG271" i="1"/>
  <c r="AF271" i="1"/>
  <c r="AL271" i="1" s="1"/>
  <c r="AE271" i="1"/>
  <c r="AK271" i="1" s="1"/>
  <c r="AD271" i="1"/>
  <c r="AJ271" i="1" s="1"/>
  <c r="AC271" i="1"/>
  <c r="AI271" i="1" s="1"/>
  <c r="AB271" i="1"/>
  <c r="AM271" i="1"/>
  <c r="L271" i="1"/>
  <c r="M271" i="1"/>
  <c r="AH270" i="1"/>
  <c r="AG270" i="1"/>
  <c r="AF270" i="1"/>
  <c r="AE270" i="1"/>
  <c r="AD270" i="1"/>
  <c r="AC270" i="1"/>
  <c r="AI270" i="1" s="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H267" i="1"/>
  <c r="AG267" i="1"/>
  <c r="AF267" i="1"/>
  <c r="AE267" i="1"/>
  <c r="AD267" i="1"/>
  <c r="AC267" i="1"/>
  <c r="AB267" i="1"/>
  <c r="M268" i="1" s="1"/>
  <c r="C624" i="4"/>
  <c r="D624" i="4"/>
  <c r="E624" i="4"/>
  <c r="F624" i="4"/>
  <c r="G624" i="4"/>
  <c r="H624" i="4"/>
  <c r="B624" i="4"/>
  <c r="L269" i="1"/>
  <c r="L270" i="1"/>
  <c r="AJ269" i="1"/>
  <c r="AK269" i="1"/>
  <c r="AN269" i="1"/>
  <c r="AY268" i="1"/>
  <c r="BG268" i="1"/>
  <c r="L268" i="1"/>
  <c r="AH266" i="1"/>
  <c r="AG266" i="1"/>
  <c r="AF266" i="1"/>
  <c r="AE266" i="1"/>
  <c r="AD266" i="1"/>
  <c r="AC266" i="1"/>
  <c r="AB266" i="1"/>
  <c r="AI266" i="1" s="1"/>
  <c r="AH265" i="1"/>
  <c r="AG265" i="1"/>
  <c r="AF265" i="1"/>
  <c r="AL265" i="1" s="1"/>
  <c r="AE265" i="1"/>
  <c r="AD265" i="1"/>
  <c r="AC265" i="1"/>
  <c r="AB265" i="1"/>
  <c r="AN265" i="1"/>
  <c r="L266" i="1"/>
  <c r="M266" i="1"/>
  <c r="L267" i="1"/>
  <c r="L265" i="1"/>
  <c r="AH264" i="1"/>
  <c r="AG264" i="1"/>
  <c r="AF264" i="1"/>
  <c r="AE264" i="1"/>
  <c r="AD264" i="1"/>
  <c r="AJ264" i="1" s="1"/>
  <c r="AC264" i="1"/>
  <c r="AB264" i="1"/>
  <c r="M265" i="1" s="1"/>
  <c r="L264" i="1"/>
  <c r="AH263" i="1"/>
  <c r="AG263" i="1"/>
  <c r="AF263" i="1"/>
  <c r="AE263" i="1"/>
  <c r="AD263" i="1"/>
  <c r="AJ263" i="1" s="1"/>
  <c r="AC263" i="1"/>
  <c r="AI263" i="1" s="1"/>
  <c r="AB263" i="1"/>
  <c r="AN263" i="1" s="1"/>
  <c r="AH262" i="1"/>
  <c r="AG262" i="1"/>
  <c r="AF262" i="1"/>
  <c r="AE262" i="1"/>
  <c r="AD262" i="1"/>
  <c r="AC262" i="1"/>
  <c r="AB262" i="1"/>
  <c r="M263" i="1" s="1"/>
  <c r="L263" i="1"/>
  <c r="C620" i="4"/>
  <c r="D620" i="4"/>
  <c r="E620" i="4"/>
  <c r="F620" i="4"/>
  <c r="G620" i="4"/>
  <c r="H620" i="4"/>
  <c r="B620" i="4"/>
  <c r="L262" i="1"/>
  <c r="AH261" i="1"/>
  <c r="AG261" i="1"/>
  <c r="AF261" i="1"/>
  <c r="AE261" i="1"/>
  <c r="AD261" i="1"/>
  <c r="AC261" i="1"/>
  <c r="AB261" i="1"/>
  <c r="M262" i="1" s="1"/>
  <c r="AH260" i="1"/>
  <c r="AG260" i="1"/>
  <c r="AE260" i="1"/>
  <c r="AK260" i="1" s="1"/>
  <c r="AD260" i="1"/>
  <c r="AC260" i="1"/>
  <c r="AI260" i="1" s="1"/>
  <c r="AB260" i="1"/>
  <c r="AH259" i="1"/>
  <c r="AG259" i="1"/>
  <c r="AF259" i="1"/>
  <c r="AE259" i="1"/>
  <c r="AK259" i="1" s="1"/>
  <c r="AD259" i="1"/>
  <c r="AC259" i="1"/>
  <c r="AI259" i="1" s="1"/>
  <c r="AB259" i="1"/>
  <c r="AN259" i="1" s="1"/>
  <c r="AF260" i="1"/>
  <c r="L261" i="1"/>
  <c r="M261" i="1"/>
  <c r="L260" i="1"/>
  <c r="L259" i="1"/>
  <c r="AH256" i="1"/>
  <c r="AG256" i="1"/>
  <c r="AM256" i="1" s="1"/>
  <c r="AF256" i="1"/>
  <c r="AL256" i="1" s="1"/>
  <c r="AE256" i="1"/>
  <c r="AK256" i="1" s="1"/>
  <c r="AD256" i="1"/>
  <c r="AC256" i="1"/>
  <c r="AB256" i="1"/>
  <c r="M257" i="1" s="1"/>
  <c r="AH258" i="1"/>
  <c r="AG258" i="1"/>
  <c r="AF258" i="1"/>
  <c r="AE258" i="1"/>
  <c r="AD258" i="1"/>
  <c r="AC258" i="1"/>
  <c r="AB258" i="1"/>
  <c r="AK258" i="1" s="1"/>
  <c r="AH257" i="1"/>
  <c r="AG257" i="1"/>
  <c r="AF257" i="1"/>
  <c r="AE257" i="1"/>
  <c r="AD257" i="1"/>
  <c r="AJ257" i="1" s="1"/>
  <c r="AC257" i="1"/>
  <c r="AB257" i="1"/>
  <c r="AL257" i="1" s="1"/>
  <c r="AI256" i="1"/>
  <c r="L258" i="1"/>
  <c r="L257" i="1"/>
  <c r="L256" i="1"/>
  <c r="M256" i="1"/>
  <c r="AK255" i="1"/>
  <c r="AL255" i="1"/>
  <c r="AH255" i="1"/>
  <c r="AN255" i="1" s="1"/>
  <c r="AG255" i="1"/>
  <c r="AM255" i="1" s="1"/>
  <c r="AF255" i="1"/>
  <c r="AE255" i="1"/>
  <c r="AD255" i="1"/>
  <c r="AJ255" i="1" s="1"/>
  <c r="AC255" i="1"/>
  <c r="AI255" i="1" s="1"/>
  <c r="AB255" i="1"/>
  <c r="L255" i="1"/>
  <c r="M255" i="1"/>
  <c r="AH254" i="1"/>
  <c r="AN254" i="1" s="1"/>
  <c r="AG254" i="1"/>
  <c r="AF254" i="1"/>
  <c r="AL254" i="1" s="1"/>
  <c r="AE254" i="1"/>
  <c r="AK254" i="1" s="1"/>
  <c r="AD254" i="1"/>
  <c r="AC254" i="1"/>
  <c r="AB254" i="1"/>
  <c r="L254" i="1"/>
  <c r="M254" i="1"/>
  <c r="AH253" i="1"/>
  <c r="AG253" i="1"/>
  <c r="AF253" i="1"/>
  <c r="AE253" i="1"/>
  <c r="AD253" i="1"/>
  <c r="AC253" i="1"/>
  <c r="AB253" i="1"/>
  <c r="AK253" i="1"/>
  <c r="AI252" i="1"/>
  <c r="AK252" i="1"/>
  <c r="AH252" i="1"/>
  <c r="AN252" i="1" s="1"/>
  <c r="AG252" i="1"/>
  <c r="AM252" i="1" s="1"/>
  <c r="AF252" i="1"/>
  <c r="AL252" i="1" s="1"/>
  <c r="AE252" i="1"/>
  <c r="AD252" i="1"/>
  <c r="AJ252" i="1" s="1"/>
  <c r="AC252" i="1"/>
  <c r="AB252" i="1"/>
  <c r="M253" i="1" s="1"/>
  <c r="C599" i="4"/>
  <c r="D599" i="4"/>
  <c r="E599" i="4"/>
  <c r="F599" i="4"/>
  <c r="G599" i="4"/>
  <c r="H599" i="4"/>
  <c r="B599" i="4"/>
  <c r="L253" i="1"/>
  <c r="L252" i="1"/>
  <c r="M252" i="1"/>
  <c r="AS251" i="1"/>
  <c r="AI251" i="1"/>
  <c r="AK251" i="1"/>
  <c r="AH251" i="1"/>
  <c r="AN251" i="1" s="1"/>
  <c r="AG251" i="1"/>
  <c r="AM251" i="1" s="1"/>
  <c r="AF251" i="1"/>
  <c r="AL251" i="1" s="1"/>
  <c r="AE251" i="1"/>
  <c r="AD251" i="1"/>
  <c r="AJ251" i="1" s="1"/>
  <c r="AC251" i="1"/>
  <c r="AB251" i="1"/>
  <c r="L251" i="1"/>
  <c r="M251" i="1"/>
  <c r="AH250" i="1"/>
  <c r="AG250" i="1"/>
  <c r="AM250" i="1" s="1"/>
  <c r="AF250" i="1"/>
  <c r="AE250" i="1"/>
  <c r="AK250" i="1" s="1"/>
  <c r="AD250" i="1"/>
  <c r="AC250" i="1"/>
  <c r="AB250" i="1"/>
  <c r="AS250" i="1"/>
  <c r="AJ250" i="1"/>
  <c r="AL250" i="1"/>
  <c r="AN250" i="1"/>
  <c r="AH249" i="1"/>
  <c r="AG249" i="1"/>
  <c r="AF249" i="1"/>
  <c r="AE249" i="1"/>
  <c r="AK249" i="1" s="1"/>
  <c r="AD249" i="1"/>
  <c r="AJ249" i="1" s="1"/>
  <c r="AC249" i="1"/>
  <c r="AB249" i="1"/>
  <c r="AN249" i="1" s="1"/>
  <c r="L250" i="1"/>
  <c r="AH248" i="1"/>
  <c r="AG248" i="1"/>
  <c r="AF248" i="1"/>
  <c r="AE248" i="1"/>
  <c r="AD248" i="1"/>
  <c r="AC248" i="1"/>
  <c r="AB248" i="1"/>
  <c r="AJ248" i="1" s="1"/>
  <c r="L249" i="1"/>
  <c r="L248" i="1"/>
  <c r="M248" i="1"/>
  <c r="AH247" i="1"/>
  <c r="AG247" i="1"/>
  <c r="AF247" i="1"/>
  <c r="AE247" i="1"/>
  <c r="AD247" i="1"/>
  <c r="AC247" i="1"/>
  <c r="AB247" i="1"/>
  <c r="AU247" i="1"/>
  <c r="AD246" i="1"/>
  <c r="L247" i="1"/>
  <c r="M247" i="1"/>
  <c r="AH246" i="1"/>
  <c r="AG246" i="1"/>
  <c r="AF246" i="1"/>
  <c r="AE246" i="1"/>
  <c r="AC246" i="1"/>
  <c r="AB246" i="1"/>
  <c r="AI245" i="1"/>
  <c r="AJ245" i="1"/>
  <c r="AH245" i="1"/>
  <c r="AN245" i="1" s="1"/>
  <c r="AG245" i="1"/>
  <c r="AM245" i="1" s="1"/>
  <c r="AF245" i="1"/>
  <c r="AL245" i="1" s="1"/>
  <c r="AE245" i="1"/>
  <c r="AK245" i="1" s="1"/>
  <c r="AD245" i="1"/>
  <c r="AC245" i="1"/>
  <c r="AB245" i="1"/>
  <c r="M246" i="1" s="1"/>
  <c r="L246" i="1"/>
  <c r="L245" i="1"/>
  <c r="M245" i="1"/>
  <c r="AH244" i="1"/>
  <c r="AG244" i="1"/>
  <c r="AM244" i="1" s="1"/>
  <c r="AF244" i="1"/>
  <c r="AE244" i="1"/>
  <c r="AD244" i="1"/>
  <c r="AC244" i="1"/>
  <c r="AB244" i="1"/>
  <c r="AI295" i="1" l="1"/>
  <c r="AN295" i="1"/>
  <c r="AM295" i="1"/>
  <c r="AK295" i="1"/>
  <c r="AJ295" i="1"/>
  <c r="AM294" i="1"/>
  <c r="AL294" i="1"/>
  <c r="M260" i="1"/>
  <c r="AJ258" i="1"/>
  <c r="AI264" i="1"/>
  <c r="AI273" i="1"/>
  <c r="AJ275" i="1"/>
  <c r="AL279" i="1"/>
  <c r="AM281" i="1"/>
  <c r="AL292" i="1"/>
  <c r="AK291" i="1"/>
  <c r="AJ293" i="1"/>
  <c r="AJ244" i="1"/>
  <c r="AL249" i="1"/>
  <c r="AI253" i="1"/>
  <c r="AN256" i="1"/>
  <c r="AM259" i="1"/>
  <c r="M264" i="1"/>
  <c r="AJ273" i="1"/>
  <c r="M282" i="1"/>
  <c r="M277" i="1"/>
  <c r="AN287" i="1"/>
  <c r="AM249" i="1"/>
  <c r="M259" i="1"/>
  <c r="AK265" i="1"/>
  <c r="AK273" i="1"/>
  <c r="AJ281" i="1"/>
  <c r="AJ291" i="1"/>
  <c r="AM263" i="1"/>
  <c r="AL263" i="1"/>
  <c r="AI249" i="1"/>
  <c r="AN257" i="1"/>
  <c r="AI257" i="1"/>
  <c r="AJ259" i="1"/>
  <c r="AK263" i="1"/>
  <c r="AL285" i="1"/>
  <c r="M270" i="1"/>
  <c r="AK274" i="1"/>
  <c r="AI275" i="1"/>
  <c r="M278" i="1"/>
  <c r="AJ285" i="1"/>
  <c r="AI293" i="1"/>
  <c r="AI244" i="1"/>
  <c r="AK257" i="1"/>
  <c r="AL259" i="1"/>
  <c r="AN268" i="1"/>
  <c r="AL244" i="1"/>
  <c r="M250" i="1"/>
  <c r="AJ278" i="1"/>
  <c r="M284" i="1"/>
  <c r="AM292" i="1"/>
  <c r="AL293" i="1"/>
  <c r="AN293" i="1"/>
  <c r="AM293" i="1"/>
  <c r="AI292" i="1"/>
  <c r="AJ290" i="1"/>
  <c r="AI290" i="1"/>
  <c r="AL291" i="1"/>
  <c r="AK290" i="1"/>
  <c r="AN290" i="1"/>
  <c r="AM290" i="1"/>
  <c r="AL290" i="1"/>
  <c r="AN289" i="1"/>
  <c r="M290" i="1"/>
  <c r="AM289" i="1"/>
  <c r="AK289" i="1"/>
  <c r="AJ289" i="1"/>
  <c r="AN288" i="1"/>
  <c r="AM288" i="1"/>
  <c r="AJ288" i="1"/>
  <c r="AI288" i="1"/>
  <c r="M289" i="1"/>
  <c r="AN286" i="1"/>
  <c r="AM286" i="1"/>
  <c r="AL286" i="1"/>
  <c r="AK286" i="1"/>
  <c r="AJ286" i="1"/>
  <c r="M286" i="1"/>
  <c r="AN285" i="1"/>
  <c r="AM285" i="1"/>
  <c r="AI284" i="1"/>
  <c r="AL284" i="1"/>
  <c r="AN284" i="1"/>
  <c r="AM284" i="1"/>
  <c r="AK284" i="1"/>
  <c r="AN283" i="1"/>
  <c r="AM283" i="1"/>
  <c r="AL283" i="1"/>
  <c r="AK283" i="1"/>
  <c r="AI282" i="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J243" i="1" s="1"/>
  <c r="AC243" i="1"/>
  <c r="AI243" i="1" s="1"/>
  <c r="AB243" i="1"/>
  <c r="AU243" i="1"/>
  <c r="L243" i="1"/>
  <c r="M243" i="1"/>
  <c r="AI242" i="1"/>
  <c r="AK242" i="1"/>
  <c r="AH242" i="1"/>
  <c r="AN242" i="1" s="1"/>
  <c r="AG242" i="1"/>
  <c r="AM242" i="1" s="1"/>
  <c r="AF242" i="1"/>
  <c r="AL242" i="1" s="1"/>
  <c r="AE242" i="1"/>
  <c r="AD242" i="1"/>
  <c r="AJ242" i="1" s="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AH239" i="1"/>
  <c r="AG239" i="1"/>
  <c r="AE239" i="1"/>
  <c r="AK239" i="1" s="1"/>
  <c r="AF239" i="1"/>
  <c r="AC239" i="1"/>
  <c r="AI239" i="1" s="1"/>
  <c r="AB239" i="1"/>
  <c r="M240" i="1" s="1"/>
  <c r="AD239" i="1"/>
  <c r="AJ239" i="1" s="1"/>
  <c r="L239" i="1"/>
  <c r="M239" i="1"/>
  <c r="AI238" i="1"/>
  <c r="AJ238" i="1"/>
  <c r="AH238" i="1"/>
  <c r="AN238" i="1" s="1"/>
  <c r="AG238" i="1"/>
  <c r="AM238" i="1" s="1"/>
  <c r="AF238" i="1"/>
  <c r="AL238" i="1" s="1"/>
  <c r="AE238" i="1"/>
  <c r="AK238" i="1" s="1"/>
  <c r="AD238" i="1"/>
  <c r="AC238" i="1"/>
  <c r="AB238" i="1"/>
  <c r="L238" i="1"/>
  <c r="M238" i="1"/>
  <c r="AI237" i="1"/>
  <c r="AK237" i="1"/>
  <c r="AH237" i="1"/>
  <c r="AN237" i="1" s="1"/>
  <c r="AG237" i="1"/>
  <c r="AM237" i="1" s="1"/>
  <c r="AF237" i="1"/>
  <c r="AL237" i="1" s="1"/>
  <c r="AE237" i="1"/>
  <c r="AD237" i="1"/>
  <c r="AJ237" i="1" s="1"/>
  <c r="AC237" i="1"/>
  <c r="AB237" i="1"/>
  <c r="L237" i="1"/>
  <c r="M237" i="1"/>
  <c r="AK236" i="1"/>
  <c r="AL236" i="1"/>
  <c r="AH236" i="1"/>
  <c r="AN236" i="1" s="1"/>
  <c r="AG236" i="1"/>
  <c r="AM236" i="1" s="1"/>
  <c r="AF236" i="1"/>
  <c r="AE236" i="1"/>
  <c r="AD236" i="1"/>
  <c r="AJ236" i="1" s="1"/>
  <c r="AC236" i="1"/>
  <c r="AI236" i="1" s="1"/>
  <c r="AB236" i="1"/>
  <c r="L236" i="1"/>
  <c r="M236" i="1"/>
  <c r="AH235" i="1"/>
  <c r="AG235" i="1"/>
  <c r="AF235" i="1"/>
  <c r="AE235" i="1"/>
  <c r="AD235" i="1"/>
  <c r="AJ235" i="1" s="1"/>
  <c r="AC235" i="1"/>
  <c r="AB235" i="1"/>
  <c r="AI235" i="1"/>
  <c r="L235" i="1"/>
  <c r="M235" i="1"/>
  <c r="AH234" i="1"/>
  <c r="AN234" i="1" s="1"/>
  <c r="AG234" i="1"/>
  <c r="AM234" i="1" s="1"/>
  <c r="AF234" i="1"/>
  <c r="AE234" i="1"/>
  <c r="AD234" i="1"/>
  <c r="AC234" i="1"/>
  <c r="AB234" i="1"/>
  <c r="AI234" i="1" s="1"/>
  <c r="AH233" i="1"/>
  <c r="AG233" i="1"/>
  <c r="AF233" i="1"/>
  <c r="AE233" i="1"/>
  <c r="AD233" i="1"/>
  <c r="AC233" i="1"/>
  <c r="AB233" i="1"/>
  <c r="AJ233" i="1" s="1"/>
  <c r="AJ234" i="1"/>
  <c r="AK234" i="1"/>
  <c r="AL234" i="1"/>
  <c r="L234" i="1"/>
  <c r="L233" i="1"/>
  <c r="M233" i="1"/>
  <c r="AH232" i="1"/>
  <c r="AG232" i="1"/>
  <c r="AM232" i="1" s="1"/>
  <c r="AF232" i="1"/>
  <c r="AE232" i="1"/>
  <c r="AD232" i="1"/>
  <c r="AC232" i="1"/>
  <c r="AB232" i="1"/>
  <c r="AI230" i="1"/>
  <c r="AJ230" i="1"/>
  <c r="AL230" i="1"/>
  <c r="AI231" i="1"/>
  <c r="AM231" i="1"/>
  <c r="AN231" i="1"/>
  <c r="L232" i="1"/>
  <c r="M232" i="1"/>
  <c r="AH231" i="1"/>
  <c r="AG231" i="1"/>
  <c r="AF231" i="1"/>
  <c r="AL231" i="1" s="1"/>
  <c r="AE231" i="1"/>
  <c r="AK231" i="1" s="1"/>
  <c r="AD231" i="1"/>
  <c r="AJ231" i="1" s="1"/>
  <c r="AC231" i="1"/>
  <c r="AB231" i="1"/>
  <c r="L231" i="1"/>
  <c r="M231" i="1"/>
  <c r="AH230" i="1"/>
  <c r="AN230" i="1" s="1"/>
  <c r="AG230" i="1"/>
  <c r="AM230" i="1" s="1"/>
  <c r="AF230" i="1"/>
  <c r="AE230" i="1"/>
  <c r="AK230" i="1" s="1"/>
  <c r="AD230" i="1"/>
  <c r="AC230" i="1"/>
  <c r="AB230" i="1"/>
  <c r="L230" i="1"/>
  <c r="M230" i="1"/>
  <c r="AH229" i="1"/>
  <c r="AG229" i="1"/>
  <c r="AM229" i="1" s="1"/>
  <c r="AF229" i="1"/>
  <c r="AL229" i="1" s="1"/>
  <c r="AE229" i="1"/>
  <c r="AD229" i="1"/>
  <c r="AC229" i="1"/>
  <c r="AB229" i="1"/>
  <c r="AJ229" i="1"/>
  <c r="AN229" i="1"/>
  <c r="C555" i="4"/>
  <c r="D555" i="4"/>
  <c r="E555" i="4"/>
  <c r="F555" i="4"/>
  <c r="G555" i="4"/>
  <c r="H555" i="4"/>
  <c r="B555" i="4"/>
  <c r="L229" i="1"/>
  <c r="AH228" i="1"/>
  <c r="AN228" i="1" s="1"/>
  <c r="AG228" i="1"/>
  <c r="AF228" i="1"/>
  <c r="AE228" i="1"/>
  <c r="AD228" i="1"/>
  <c r="AJ228" i="1" s="1"/>
  <c r="AC228" i="1"/>
  <c r="AI228" i="1" s="1"/>
  <c r="AB228" i="1"/>
  <c r="M229" i="1" s="1"/>
  <c r="L228" i="1"/>
  <c r="M228" i="1"/>
  <c r="AH227" i="1"/>
  <c r="AG227" i="1"/>
  <c r="AF227" i="1"/>
  <c r="AE227" i="1"/>
  <c r="AD227" i="1"/>
  <c r="AC227" i="1"/>
  <c r="AB227" i="1"/>
  <c r="M227" i="1"/>
  <c r="L227" i="1"/>
  <c r="AH226" i="1"/>
  <c r="AN226" i="1" s="1"/>
  <c r="AG226" i="1"/>
  <c r="AF226" i="1"/>
  <c r="AE226" i="1"/>
  <c r="AD226" i="1"/>
  <c r="AJ226" i="1" s="1"/>
  <c r="AC226" i="1"/>
  <c r="AI226" i="1" s="1"/>
  <c r="AB226" i="1"/>
  <c r="AK226" i="1" s="1"/>
  <c r="L226" i="1"/>
  <c r="AC221" i="1"/>
  <c r="AH225" i="1"/>
  <c r="AG225" i="1"/>
  <c r="AF225" i="1"/>
  <c r="AE225" i="1"/>
  <c r="AD225" i="1"/>
  <c r="AC225" i="1"/>
  <c r="AB225" i="1"/>
  <c r="AN225" i="1" s="1"/>
  <c r="L225" i="1"/>
  <c r="H551" i="4"/>
  <c r="G551" i="4"/>
  <c r="F551" i="4"/>
  <c r="E551" i="4"/>
  <c r="D551" i="4"/>
  <c r="C551" i="4"/>
  <c r="B551" i="4"/>
  <c r="AN224" i="1"/>
  <c r="AH224" i="1"/>
  <c r="AF224" i="1"/>
  <c r="AG224" i="1"/>
  <c r="AE224" i="1"/>
  <c r="AD224" i="1"/>
  <c r="AJ224" i="1" s="1"/>
  <c r="AC224" i="1"/>
  <c r="AI224" i="1" s="1"/>
  <c r="AB224" i="1"/>
  <c r="M225" i="1" s="1"/>
  <c r="C550" i="4"/>
  <c r="D550" i="4"/>
  <c r="E550" i="4"/>
  <c r="F550" i="4"/>
  <c r="G550" i="4"/>
  <c r="H550" i="4"/>
  <c r="B550" i="4"/>
  <c r="L224" i="1"/>
  <c r="M224" i="1"/>
  <c r="AH223" i="1"/>
  <c r="AG223" i="1"/>
  <c r="AF223" i="1"/>
  <c r="AE223" i="1"/>
  <c r="AD223" i="1"/>
  <c r="AC223" i="1"/>
  <c r="AB223" i="1"/>
  <c r="C545" i="4"/>
  <c r="D545" i="4"/>
  <c r="E545" i="4"/>
  <c r="F545" i="4"/>
  <c r="G545" i="4"/>
  <c r="H545" i="4"/>
  <c r="B545" i="4"/>
  <c r="L223" i="1"/>
  <c r="M223" i="1"/>
  <c r="AH222" i="1"/>
  <c r="AN222" i="1" s="1"/>
  <c r="AG222" i="1"/>
  <c r="AM222" i="1" s="1"/>
  <c r="AF222" i="1"/>
  <c r="AE222" i="1"/>
  <c r="AD222" i="1"/>
  <c r="AJ222" i="1" s="1"/>
  <c r="AC222" i="1"/>
  <c r="AI222" i="1" s="1"/>
  <c r="AB222" i="1"/>
  <c r="AL222" i="1" s="1"/>
  <c r="L222" i="1"/>
  <c r="M222" i="1"/>
  <c r="AI221" i="1"/>
  <c r="AH221" i="1"/>
  <c r="AN221" i="1" s="1"/>
  <c r="AG221" i="1"/>
  <c r="AM221" i="1" s="1"/>
  <c r="AF221" i="1"/>
  <c r="AL221" i="1" s="1"/>
  <c r="AE221" i="1"/>
  <c r="AD221" i="1"/>
  <c r="AJ221" i="1" s="1"/>
  <c r="AB221" i="1"/>
  <c r="AK221" i="1" s="1"/>
  <c r="L221" i="1"/>
  <c r="M221" i="1"/>
  <c r="AI220" i="1"/>
  <c r="AK220" i="1"/>
  <c r="AH220" i="1"/>
  <c r="AN220" i="1" s="1"/>
  <c r="AG220" i="1"/>
  <c r="AM220" i="1" s="1"/>
  <c r="AF220" i="1"/>
  <c r="AL220" i="1" s="1"/>
  <c r="AE220" i="1"/>
  <c r="AD220" i="1"/>
  <c r="AJ220" i="1" s="1"/>
  <c r="AC220" i="1"/>
  <c r="AB220" i="1"/>
  <c r="L220" i="1"/>
  <c r="M220" i="1"/>
  <c r="AH219" i="1"/>
  <c r="AF219" i="1"/>
  <c r="AE219" i="1"/>
  <c r="AD219" i="1"/>
  <c r="AC219" i="1"/>
  <c r="AB219" i="1"/>
  <c r="AG219" i="1"/>
  <c r="AH218" i="1"/>
  <c r="AN218" i="1" s="1"/>
  <c r="AG218" i="1"/>
  <c r="AF218" i="1"/>
  <c r="AE218" i="1"/>
  <c r="AD218" i="1"/>
  <c r="AJ218" i="1" s="1"/>
  <c r="AC218" i="1"/>
  <c r="AI218" i="1" s="1"/>
  <c r="AB218" i="1"/>
  <c r="M219" i="1" s="1"/>
  <c r="L219" i="1"/>
  <c r="L218" i="1"/>
  <c r="AH217" i="1"/>
  <c r="AN217" i="1" s="1"/>
  <c r="AG217" i="1"/>
  <c r="AF217" i="1"/>
  <c r="AE217" i="1"/>
  <c r="AD217" i="1"/>
  <c r="AJ217" i="1" s="1"/>
  <c r="AC217" i="1"/>
  <c r="AI217" i="1" s="1"/>
  <c r="AB217" i="1"/>
  <c r="AL217" i="1" s="1"/>
  <c r="C540" i="4"/>
  <c r="D540" i="4"/>
  <c r="E540" i="4"/>
  <c r="F540" i="4"/>
  <c r="G540" i="4"/>
  <c r="H540" i="4"/>
  <c r="B540" i="4"/>
  <c r="L217" i="1"/>
  <c r="AH216" i="1"/>
  <c r="AG216" i="1"/>
  <c r="AF216" i="1"/>
  <c r="AE216" i="1"/>
  <c r="AD216" i="1"/>
  <c r="AC216" i="1"/>
  <c r="AB216" i="1"/>
  <c r="M217" i="1" s="1"/>
  <c r="AH215" i="1"/>
  <c r="AG215" i="1"/>
  <c r="AF215" i="1"/>
  <c r="AE215" i="1"/>
  <c r="AD215" i="1"/>
  <c r="AC215" i="1"/>
  <c r="AB215" i="1"/>
  <c r="AI215" i="1" s="1"/>
  <c r="L216" i="1"/>
  <c r="AH214" i="1"/>
  <c r="AG214" i="1"/>
  <c r="AF214" i="1"/>
  <c r="AE214" i="1"/>
  <c r="AD214" i="1"/>
  <c r="AC214" i="1"/>
  <c r="AB214" i="1"/>
  <c r="M215" i="1" s="1"/>
  <c r="L215" i="1"/>
  <c r="L214" i="1"/>
  <c r="M214" i="1"/>
  <c r="AK213" i="1"/>
  <c r="AL213" i="1"/>
  <c r="AH213" i="1"/>
  <c r="AN213" i="1" s="1"/>
  <c r="AG213" i="1"/>
  <c r="AM213" i="1" s="1"/>
  <c r="AF213" i="1"/>
  <c r="AE213" i="1"/>
  <c r="AD213" i="1"/>
  <c r="AJ213" i="1" s="1"/>
  <c r="AC213" i="1"/>
  <c r="AI213" i="1" s="1"/>
  <c r="AB213" i="1"/>
  <c r="C525" i="4"/>
  <c r="D525" i="4"/>
  <c r="E525" i="4"/>
  <c r="F525" i="4"/>
  <c r="G525" i="4"/>
  <c r="H525" i="4"/>
  <c r="B525" i="4"/>
  <c r="C524" i="4"/>
  <c r="D524" i="4"/>
  <c r="E524" i="4"/>
  <c r="F524" i="4"/>
  <c r="G524" i="4"/>
  <c r="H524" i="4"/>
  <c r="B524" i="4"/>
  <c r="H523" i="4"/>
  <c r="G523" i="4"/>
  <c r="F523" i="4"/>
  <c r="E523" i="4"/>
  <c r="D523" i="4"/>
  <c r="C523" i="4"/>
  <c r="B523" i="4"/>
  <c r="L213" i="1"/>
  <c r="M213" i="1"/>
  <c r="AH212" i="1"/>
  <c r="AN212" i="1" s="1"/>
  <c r="AG212" i="1"/>
  <c r="AM212" i="1" s="1"/>
  <c r="AF212" i="1"/>
  <c r="AE212" i="1"/>
  <c r="AD212" i="1"/>
  <c r="AJ212" i="1" s="1"/>
  <c r="AC212" i="1"/>
  <c r="AI212" i="1" s="1"/>
  <c r="AB212" i="1"/>
  <c r="AK212" i="1" s="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H210" i="1"/>
  <c r="AN210" i="1" s="1"/>
  <c r="AG210" i="1"/>
  <c r="AM210" i="1" s="1"/>
  <c r="AF210" i="1"/>
  <c r="AL210" i="1" s="1"/>
  <c r="AE210" i="1"/>
  <c r="AK210" i="1" s="1"/>
  <c r="AD210" i="1"/>
  <c r="AC210" i="1"/>
  <c r="AB210" i="1"/>
  <c r="C514" i="4"/>
  <c r="D514" i="4"/>
  <c r="E514" i="4"/>
  <c r="F514" i="4"/>
  <c r="G514" i="4"/>
  <c r="H514" i="4"/>
  <c r="B514" i="4"/>
  <c r="L210" i="1"/>
  <c r="M210" i="1"/>
  <c r="AK209" i="1"/>
  <c r="AL209" i="1"/>
  <c r="AH209" i="1"/>
  <c r="AN209" i="1" s="1"/>
  <c r="AG209" i="1"/>
  <c r="AM209" i="1" s="1"/>
  <c r="AF209" i="1"/>
  <c r="AE209" i="1"/>
  <c r="AD209" i="1"/>
  <c r="AJ209" i="1" s="1"/>
  <c r="AC209" i="1"/>
  <c r="AI209" i="1" s="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AN207" i="1"/>
  <c r="AH207" i="1"/>
  <c r="AG207" i="1"/>
  <c r="AF207" i="1"/>
  <c r="AE207" i="1"/>
  <c r="AD207" i="1"/>
  <c r="AJ207" i="1" s="1"/>
  <c r="AC207" i="1"/>
  <c r="AI207" i="1" s="1"/>
  <c r="AB207" i="1"/>
  <c r="M208" i="1" s="1"/>
  <c r="C507" i="4"/>
  <c r="B507" i="4"/>
  <c r="L207" i="1"/>
  <c r="AH206" i="1"/>
  <c r="AN206" i="1" s="1"/>
  <c r="AG206" i="1"/>
  <c r="AF206" i="1"/>
  <c r="AE206" i="1"/>
  <c r="AD206" i="1"/>
  <c r="AJ206" i="1" s="1"/>
  <c r="AC206" i="1"/>
  <c r="AI206" i="1" s="1"/>
  <c r="AB206" i="1"/>
  <c r="M207" i="1" s="1"/>
  <c r="L206" i="1"/>
  <c r="AN205" i="1"/>
  <c r="AH205" i="1"/>
  <c r="AG205" i="1"/>
  <c r="AF205" i="1"/>
  <c r="AE205" i="1"/>
  <c r="AD205" i="1"/>
  <c r="AJ205" i="1" s="1"/>
  <c r="AC205" i="1"/>
  <c r="AI205" i="1" s="1"/>
  <c r="AB205" i="1"/>
  <c r="AK205" i="1" s="1"/>
  <c r="AM218" i="1" l="1"/>
  <c r="M226" i="1"/>
  <c r="AM207" i="1"/>
  <c r="AL218" i="1"/>
  <c r="AL206" i="1"/>
  <c r="AM224" i="1"/>
  <c r="AL205" i="1"/>
  <c r="AK217" i="1"/>
  <c r="AK218" i="1"/>
  <c r="AL224" i="1"/>
  <c r="AM228" i="1"/>
  <c r="AK207" i="1"/>
  <c r="AJ223" i="1"/>
  <c r="AK224" i="1"/>
  <c r="AL226" i="1"/>
  <c r="AL228" i="1"/>
  <c r="AL212" i="1"/>
  <c r="AN232" i="1"/>
  <c r="M218" i="1"/>
  <c r="AK222" i="1"/>
  <c r="M206" i="1"/>
  <c r="AN214" i="1"/>
  <c r="AN219" i="1"/>
  <c r="AN239" i="1"/>
  <c r="AM206" i="1"/>
  <c r="AM217" i="1"/>
  <c r="AM205" i="1"/>
  <c r="AK206" i="1"/>
  <c r="AL207" i="1"/>
  <c r="AM226" i="1"/>
  <c r="AK228" i="1"/>
  <c r="AM239" i="1"/>
  <c r="AM225" i="1"/>
  <c r="AI229" i="1"/>
  <c r="AK229" i="1"/>
  <c r="AK233" i="1"/>
  <c r="AN243" i="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H204" i="1"/>
  <c r="AN204" i="1" s="1"/>
  <c r="AG204" i="1"/>
  <c r="AM204" i="1" s="1"/>
  <c r="AF204" i="1"/>
  <c r="AL204" i="1" s="1"/>
  <c r="AE204" i="1"/>
  <c r="AD204" i="1"/>
  <c r="AJ204" i="1" s="1"/>
  <c r="AC204" i="1"/>
  <c r="AB204" i="1"/>
  <c r="AK204" i="1" s="1"/>
  <c r="AY204" i="1"/>
  <c r="BG204" i="1"/>
  <c r="L204" i="1"/>
  <c r="AH203" i="1"/>
  <c r="AG203" i="1"/>
  <c r="AF203" i="1"/>
  <c r="AE203" i="1"/>
  <c r="AD203" i="1"/>
  <c r="AC203" i="1"/>
  <c r="AB203" i="1"/>
  <c r="AJ203" i="1" s="1"/>
  <c r="C501" i="4"/>
  <c r="D501" i="4"/>
  <c r="E501" i="4"/>
  <c r="F501" i="4"/>
  <c r="G501" i="4"/>
  <c r="H501" i="4"/>
  <c r="B501" i="4"/>
  <c r="AI202" i="1"/>
  <c r="AJ202" i="1"/>
  <c r="AH202" i="1"/>
  <c r="AN202" i="1" s="1"/>
  <c r="AG202" i="1"/>
  <c r="AM202" i="1" s="1"/>
  <c r="AF202" i="1"/>
  <c r="AL202" i="1" s="1"/>
  <c r="AE202" i="1"/>
  <c r="AK202" i="1" s="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M195" i="1" l="1"/>
  <c r="M204" i="1"/>
  <c r="AI203" i="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L175" i="1" l="1"/>
  <c r="AM186" i="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I99" i="1" l="1"/>
  <c r="AK98" i="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L91" i="1"/>
  <c r="AH90" i="1"/>
  <c r="AG90" i="1"/>
  <c r="AF90" i="1"/>
  <c r="AE90" i="1"/>
  <c r="AD90" i="1"/>
  <c r="AC90" i="1"/>
  <c r="AB90" i="1"/>
  <c r="L90" i="1"/>
  <c r="AH89" i="1"/>
  <c r="AG89" i="1"/>
  <c r="AF89" i="1"/>
  <c r="AE89" i="1"/>
  <c r="AD89" i="1"/>
  <c r="AC89" i="1"/>
  <c r="AB89" i="1"/>
  <c r="M90" i="1" s="1"/>
  <c r="L89" i="1"/>
  <c r="AN91" i="1" l="1"/>
  <c r="AI91" i="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I83" i="1" s="1"/>
  <c r="AB83" i="1"/>
  <c r="M84" i="1" s="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G62" i="1"/>
  <c r="AF62" i="1"/>
  <c r="AL62" i="1" s="1"/>
  <c r="AE62" i="1"/>
  <c r="AK62" i="1" s="1"/>
  <c r="AD62" i="1"/>
  <c r="AC62" i="1"/>
  <c r="AB62" i="1"/>
  <c r="M63" i="1" s="1"/>
  <c r="L62" i="1"/>
  <c r="AH61" i="1"/>
  <c r="AG61" i="1"/>
  <c r="AF61" i="1"/>
  <c r="AL61" i="1" s="1"/>
  <c r="AE61" i="1"/>
  <c r="AD61" i="1"/>
  <c r="AC61" i="1"/>
  <c r="AB61" i="1"/>
  <c r="M62" i="1" s="1"/>
  <c r="L61" i="1"/>
  <c r="AH60" i="1"/>
  <c r="AG60" i="1"/>
  <c r="AF60" i="1"/>
  <c r="AE60" i="1"/>
  <c r="AD60" i="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2" i="1" l="1"/>
  <c r="AN60" i="1"/>
  <c r="AN61" i="1"/>
  <c r="AN62" i="1"/>
  <c r="AJ60" i="1"/>
  <c r="AM60" i="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C56" i="1"/>
  <c r="AB56" i="1"/>
  <c r="AI56" i="1" s="1"/>
  <c r="L56" i="1"/>
  <c r="AH55" i="1"/>
  <c r="AG55" i="1"/>
  <c r="AF55" i="1"/>
  <c r="AE55" i="1"/>
  <c r="AD55" i="1"/>
  <c r="AC55" i="1"/>
  <c r="AB55" i="1"/>
  <c r="M56" i="1" s="1"/>
  <c r="AJ56" i="1" l="1"/>
  <c r="AI55" i="1"/>
  <c r="AL55" i="1"/>
  <c r="AK55" i="1"/>
  <c r="AJ55" i="1"/>
  <c r="AM55" i="1"/>
  <c r="AN55" i="1"/>
  <c r="AL56" i="1"/>
  <c r="M57" i="1"/>
  <c r="AN56" i="1"/>
  <c r="AM56" i="1"/>
  <c r="AK56" i="1"/>
  <c r="L55" i="1"/>
  <c r="BG43" i="1"/>
  <c r="BG54" i="1"/>
  <c r="AH54" i="1"/>
  <c r="AG54" i="1"/>
  <c r="AF54" i="1"/>
  <c r="AE54" i="1"/>
  <c r="AD54" i="1"/>
  <c r="AC54" i="1"/>
  <c r="AB54" i="1"/>
  <c r="AJ54" i="1" s="1"/>
  <c r="C144" i="4"/>
  <c r="D144" i="4"/>
  <c r="E144" i="4"/>
  <c r="F144" i="4"/>
  <c r="G144" i="4"/>
  <c r="H144" i="4"/>
  <c r="B144" i="4"/>
  <c r="AH53" i="1"/>
  <c r="AN53" i="1" s="1"/>
  <c r="AG53" i="1"/>
  <c r="AF53" i="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L53" i="1" l="1"/>
  <c r="AI52" i="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M30" i="1" s="1"/>
  <c r="AB28" i="1"/>
  <c r="M29" i="1" s="1"/>
  <c r="AB27" i="1"/>
  <c r="C90" i="4"/>
  <c r="D90" i="4"/>
  <c r="E90" i="4"/>
  <c r="F90" i="4"/>
  <c r="G90" i="4"/>
  <c r="H90" i="4"/>
  <c r="B90" i="4"/>
  <c r="L30" i="1"/>
  <c r="L29" i="1"/>
  <c r="AG29" i="1"/>
  <c r="AF29" i="1"/>
  <c r="AE29" i="1"/>
  <c r="AD29" i="1"/>
  <c r="AJ29" i="1" s="1"/>
  <c r="AC29" i="1"/>
  <c r="AG28" i="1"/>
  <c r="AF28" i="1"/>
  <c r="AE28" i="1"/>
  <c r="AD28" i="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J28" i="1" l="1"/>
  <c r="AK28" i="1"/>
  <c r="AL24" i="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<sst xmlns="http://schemas.openxmlformats.org/spreadsheetml/2006/main" count="5484" uniqueCount="1485">
  <si>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</si>
  <si>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</si>
  <si>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</si>
  <si>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</si>
  <si>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</si>
  <si>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</si>
  <si>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</si>
  <si>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</si>
  <si>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</si>
  <si>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</si>
  <si>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</si>
  <si>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</si>
  <si>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</si>
  <si>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</si>
  <si>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</si>
  <si>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</si>
  <si>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</si>
  <si>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</si>
  <si>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</si>
  <si>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</si>
  <si>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</si>
  <si>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</si>
  <si>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</si>
  <si>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</si>
  <si>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</si>
  <si>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</si>
  <si>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</si>
  <si>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</si>
  <si>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</si>
  <si>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</si>
  <si>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</si>
  <si>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</si>
  <si>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</si>
  <si>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</si>
  <si>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</si>
  <si>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</si>
  <si>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</si>
  <si>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</si>
  <si>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</si>
  <si>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</si>
  <si>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</si>
  <si>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</si>
  <si>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</si>
  <si>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</si>
  <si>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</si>
  <si>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</si>
  <si>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</si>
  <si>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</si>
  <si>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</si>
  <si>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</si>
  <si>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</si>
  <si>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</si>
  <si>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</si>
  <si>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</si>
  <si>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</si>
  <si>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</si>
  <si>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</si>
  <si>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</si>
  <si>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</si>
  <si>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</si>
  <si>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</si>
  <si>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</si>
  <si>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</si>
  <si>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</si>
  <si>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</si>
  <si>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</si>
  <si>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</si>
  <si>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</si>
  <si>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</si>
  <si>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</si>
  <si>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</si>
  <si>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</si>
  <si>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</si>
  <si>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</si>
  <si>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</si>
  <si>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</si>
  <si>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</si>
  <si>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</si>
  <si>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</si>
  <si>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</si>
  <si>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</si>
  <si>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</si>
  <si>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</si>
  <si>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</si>
  <si>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</si>
  <si>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</si>
  <si>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</si>
  <si>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</si>
  <si>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</si>
  <si>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</si>
  <si>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</si>
  <si>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</si>
  <si>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</si>
  <si>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</si>
  <si>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</si>
  <si>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</si>
  <si>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</si>
  <si>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</si>
  <si>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</si>
  <si>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</si>
  <si>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</si>
  <si>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</si>
  <si>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</si>
  <si>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</si>
  <si>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</si>
  <si>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</si>
  <si>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</si>
  <si>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</si>
  <si>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</si>
  <si>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</si>
  <si>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</si>
  <si>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</si>
  <si>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</si>
  <si>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</si>
  <si>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</si>
  <si>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</si>
  <si>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</si>
  <si>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</si>
  <si>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</si>
  <si>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</si>
  <si>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</si>
  <si>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</si>
  <si>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</si>
  <si>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</si>
  <si>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</si>
  <si>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</si>
  <si>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</si>
  <si>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</si>
  <si>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</si>
  <si>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</si>
  <si>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</si>
  <si>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</si>
  <si>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</si>
  <si>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</si>
  <si>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</si>
  <si>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</si>
  <si>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</si>
  <si>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</si>
  <si>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</si>
  <si>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</si>
  <si>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</si>
  <si>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</si>
  <si>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</si>
  <si>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</si>
  <si>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</si>
  <si>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</si>
  <si>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</si>
  <si>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</si>
  <si>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</si>
  <si>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</si>
  <si>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</si>
  <si>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</si>
  <si>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</si>
  <si>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</si>
  <si>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</si>
  <si>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</si>
  <si>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</si>
  <si>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</si>
  <si>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</si>
  <si>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</si>
  <si>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</si>
  <si>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</si>
  <si>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</si>
  <si>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</si>
  <si>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</si>
  <si>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</si>
  <si>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</si>
  <si>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</si>
  <si>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</si>
  <si>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</si>
  <si>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</si>
  <si>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</si>
  <si>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</si>
  <si>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</si>
  <si>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</si>
  <si>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</si>
  <si>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</si>
  <si>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</si>
  <si>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</si>
  <si>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</si>
  <si>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</si>
  <si>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</si>
  <si>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</si>
  <si>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</si>
  <si>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</si>
  <si>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</si>
  <si>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</si>
  <si>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</si>
  <si>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</si>
  <si>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</si>
  <si>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</si>
  <si>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</si>
  <si>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</si>
  <si>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</si>
  <si>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</si>
  <si>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</si>
  <si>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</si>
  <si>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</si>
  <si>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</si>
  <si>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</si>
  <si>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</si>
  <si>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</si>
  <si>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</si>
  <si>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</si>
  <si>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</si>
  <si>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</si>
  <si>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</si>
  <si>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</si>
  <si>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</si>
  <si>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</si>
  <si>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</si>
  <si>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</si>
  <si>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</si>
  <si>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</si>
  <si>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</si>
  <si>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</si>
  <si>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</si>
  <si>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</si>
  <si>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</si>
  <si>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</si>
  <si>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</si>
  <si>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</si>
  <si>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</si>
  <si>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</si>
  <si>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</si>
  <si>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</si>
  <si>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</si>
  <si>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</si>
  <si>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</si>
  <si>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</si>
  <si>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</si>
  <si>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</si>
  <si>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</si>
  <si>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</si>
  <si>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</si>
  <si>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</si>
  <si>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</si>
  <si>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</si>
  <si>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</si>
  <si>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</si>
  <si>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</si>
  <si>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</si>
  <si>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</si>
  <si>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</si>
  <si>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</si>
  <si>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</si>
  <si>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</si>
  <si>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</si>
  <si>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</si>
  <si>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</si>
  <si>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</si>
  <si>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</si>
  <si>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</si>
  <si>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</si>
  <si>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</si>
  <si>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</si>
  <si>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</si>
  <si>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</si>
  <si>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</si>
  <si>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</si>
  <si>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</si>
  <si>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</si>
  <si>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</si>
  <si>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</si>
  <si>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</si>
  <si>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</si>
  <si>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</si>
  <si>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</si>
  <si>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</si>
  <si>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</si>
  <si>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</si>
  <si>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</si>
  <si>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</si>
  <si>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</si>
  <si>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</si>
  <si>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</si>
  <si>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</si>
  <si>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</si>
  <si>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</si>
  <si>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</si>
  <si>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</si>
  <si>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</si>
  <si>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</si>
  <si>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</si>
  <si>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</si>
  <si>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</si>
  <si>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</si>
  <si>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</si>
  <si>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</si>
  <si>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</si>
  <si>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</si>
  <si>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</si>
  <si>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</si>
  <si>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</si>
  <si>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</si>
  <si>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</si>
  <si>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</si>
  <si>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</si>
  <si>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</si>
  <si>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</si>
  <si>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</si>
  <si>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</si>
  <si>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</si>
  <si>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</si>
  <si>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</si>
  <si>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</si>
  <si>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</si>
  <si>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</si>
  <si>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</si>
  <si>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</si>
  <si>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</si>
  <si>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</si>
  <si>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</si>
  <si>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</si>
  <si>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</si>
  <si>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</si>
  <si>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</si>
  <si>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</si>
  <si>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</si>
  <si>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</si>
  <si>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</si>
  <si>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</si>
  <si>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</si>
  <si>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</si>
  <si>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</si>
  <si>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</si>
  <si>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</si>
  <si>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</si>
  <si>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</si>
  <si>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</si>
  <si>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</si>
  <si>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</si>
  <si>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</si>
  <si>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</si>
  <si>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</si>
  <si>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</si>
  <si>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</si>
  <si>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</si>
  <si>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</si>
  <si>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</si>
  <si>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</si>
  <si>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</si>
  <si>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</si>
  <si>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</si>
  <si>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</si>
  <si>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</si>
  <si>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</si>
  <si>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</si>
  <si>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</si>
  <si>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</si>
  <si>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</si>
  <si>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</si>
  <si>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</si>
  <si>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</si>
  <si>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</si>
  <si>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</si>
  <si>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</si>
  <si>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</si>
  <si>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</si>
  <si>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</si>
  <si>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</si>
  <si>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</si>
  <si>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</si>
  <si>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</si>
  <si>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</si>
  <si>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</si>
  <si>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</si>
  <si>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</si>
  <si>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</si>
  <si>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</si>
  <si>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</si>
  <si>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</si>
  <si>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</si>
  <si>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</si>
  <si>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</si>
  <si>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</si>
  <si>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</si>
  <si>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</si>
  <si>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</si>
  <si>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</si>
  <si>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</si>
  <si>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</si>
  <si>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</si>
  <si>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</si>
  <si>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</si>
  <si>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</si>
  <si>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</si>
  <si>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</si>
  <si>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</si>
  <si>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</si>
  <si>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</si>
  <si>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</si>
  <si>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</si>
  <si>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</si>
  <si>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</si>
  <si>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</si>
  <si>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</si>
  <si>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</si>
  <si>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</si>
  <si>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</si>
  <si>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</si>
  <si>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</si>
  <si>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</si>
  <si>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</si>
  <si>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</si>
  <si>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</si>
  <si>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</si>
  <si>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</si>
  <si>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</si>
  <si>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</si>
  <si>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</si>
  <si>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</si>
  <si>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</si>
  <si>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</si>
  <si>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</si>
  <si>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</si>
  <si>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</si>
  <si>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</si>
  <si>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</si>
  <si>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</si>
  <si>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</si>
  <si>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</si>
  <si>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</si>
  <si>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</si>
  <si>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</si>
  <si>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</si>
  <si>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</si>
  <si>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</si>
  <si>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</si>
  <si>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</si>
  <si>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</si>
  <si>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</si>
  <si>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</si>
  <si>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</si>
  <si>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</si>
  <si>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</si>
  <si>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</si>
  <si>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</si>
  <si>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</si>
  <si>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</si>
  <si>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</si>
  <si>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</si>
  <si>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</si>
  <si>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</si>
  <si>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</si>
  <si>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</si>
  <si>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</si>
  <si>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</si>
  <si>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</si>
  <si>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</si>
  <si>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</si>
  <si>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</si>
  <si>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</si>
  <si>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</si>
  <si>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</si>
  <si>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</si>
  <si>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</si>
  <si>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</si>
  <si>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</si>
  <si>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</si>
  <si>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</si>
  <si>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</si>
  <si>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</si>
  <si>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</si>
  <si>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</si>
  <si>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</si>
  <si>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</si>
  <si>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</si>
  <si>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</si>
  <si>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</si>
  <si>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</si>
  <si>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</si>
  <si>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</si>
  <si>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</si>
  <si>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</si>
  <si>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</si>
  <si>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</si>
  <si>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</si>
  <si>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</si>
  <si>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</si>
  <si>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</si>
  <si>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</si>
  <si>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</si>
  <si>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</si>
  <si>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</si>
  <si>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</si>
  <si>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</si>
  <si>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</si>
  <si>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</si>
  <si>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</si>
  <si>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</si>
  <si>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</si>
  <si>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</si>
  <si>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</si>
  <si>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</si>
  <si>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</si>
  <si>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</si>
  <si>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</si>
  <si>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</si>
  <si>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</si>
  <si>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</si>
  <si>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</si>
  <si>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</si>
  <si>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</si>
  <si>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</si>
  <si>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</si>
  <si>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</si>
  <si>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</si>
  <si>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</si>
  <si>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</si>
  <si>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</si>
  <si>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</si>
  <si>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</si>
  <si>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</si>
  <si>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</si>
  <si>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</si>
  <si>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</si>
  <si>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</si>
  <si>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</si>
  <si>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</si>
  <si>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</si>
  <si>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</si>
  <si>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</si>
  <si>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</si>
  <si>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</si>
  <si>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</si>
  <si>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</si>
  <si>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</si>
  <si>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</si>
  <si>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</si>
  <si>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</si>
  <si>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</si>
  <si>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</si>
  <si>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</si>
  <si>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</si>
  <si>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</si>
  <si>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</si>
  <si>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</si>
  <si>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</si>
  <si>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</si>
  <si>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</si>
  <si>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</si>
  <si>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</si>
  <si>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</si>
  <si>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</si>
  <si>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</si>
  <si>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</si>
  <si>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</si>
  <si>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</si>
  <si>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</si>
  <si>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</si>
  <si>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</si>
  <si>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</si>
  <si>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</si>
  <si>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</si>
  <si>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</si>
  <si>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</si>
  <si>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</si>
  <si>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</si>
  <si>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</si>
  <si>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</si>
  <si>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</si>
  <si>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</si>
  <si>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</si>
  <si>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</si>
  <si>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</si>
  <si>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</si>
  <si>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</si>
  <si>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</si>
  <si>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</si>
  <si>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</si>
  <si>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</si>
  <si>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</si>
  <si>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</si>
  <si>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</si>
  <si>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</si>
  <si>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</si>
  <si>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</si>
  <si>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</si>
  <si>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</si>
  <si>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</si>
  <si>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</si>
  <si>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</si>
  <si>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</si>
  <si>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</si>
  <si>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</si>
  <si>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</si>
  <si>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</si>
  <si>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</si>
  <si>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</si>
  <si>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</si>
  <si>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</si>
  <si>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</si>
  <si>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</si>
  <si>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</si>
  <si>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</si>
  <si>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</si>
  <si>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</si>
  <si>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</si>
  <si>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</si>
  <si>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</si>
  <si>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</si>
  <si>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</si>
  <si>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</si>
  <si>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</si>
  <si>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</si>
  <si>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</si>
  <si>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</si>
  <si>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</si>
  <si>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</si>
  <si>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</si>
  <si>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</si>
  <si>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</si>
  <si>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</si>
  <si>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</si>
  <si>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</si>
  <si>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</si>
  <si>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</si>
  <si>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</si>
  <si>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</si>
  <si>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</si>
  <si>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</si>
  <si>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</si>
  <si>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</si>
  <si>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</si>
  <si>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</si>
  <si>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</si>
  <si>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</si>
  <si>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</si>
  <si>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</si>
  <si>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</si>
  <si>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</si>
  <si>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</si>
  <si>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</si>
  <si>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</si>
  <si>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</si>
  <si>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</si>
  <si>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</si>
  <si>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</si>
  <si>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</si>
  <si>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</si>
  <si>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</si>
  <si>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</si>
  <si>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</si>
  <si>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</si>
  <si>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</si>
  <si>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</si>
  <si>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</si>
  <si>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</si>
  <si>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</si>
  <si>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</si>
  <si>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</si>
  <si>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</si>
  <si>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</si>
  <si>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</si>
  <si>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</si>
  <si>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</si>
  <si>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</si>
  <si>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</si>
  <si>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</si>
  <si>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</si>
  <si>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</si>
  <si>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</si>
  <si>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</si>
  <si>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</si>
  <si>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</si>
  <si>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</si>
  <si>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</si>
  <si>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</si>
  <si>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</si>
  <si>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</si>
  <si>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</si>
  <si>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</si>
  <si>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</si>
  <si>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</si>
  <si>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</si>
  <si>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</si>
  <si>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</si>
  <si>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</si>
  <si>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</si>
  <si>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</si>
  <si>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</si>
  <si>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</si>
  <si>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</si>
  <si>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</si>
  <si>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</si>
  <si>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</si>
  <si>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</si>
  <si>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</si>
  <si>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</si>
  <si>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</si>
  <si>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</si>
  <si>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</si>
  <si>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</si>
  <si>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</si>
  <si>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</si>
  <si>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</si>
  <si>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</si>
  <si>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</si>
  <si>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</si>
  <si>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</si>
  <si>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</si>
  <si>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</si>
  <si>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</si>
  <si>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</si>
  <si>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</si>
  <si>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</si>
  <si>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</si>
  <si>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</si>
  <si>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</si>
  <si>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</si>
  <si>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</si>
  <si>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</si>
  <si>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</si>
  <si>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</si>
  <si>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</si>
  <si>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</si>
  <si>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</si>
  <si>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</si>
  <si>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</si>
  <si>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</si>
  <si>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</si>
  <si>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</si>
  <si>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</si>
  <si>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</si>
  <si>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</si>
  <si>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</si>
  <si>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</si>
  <si>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</si>
  <si>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</si>
  <si>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</si>
  <si>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</si>
  <si>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</si>
  <si>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</si>
  <si>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</si>
  <si>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</si>
  <si>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</si>
  <si>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</si>
  <si>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</si>
  <si>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</si>
  <si>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</si>
  <si>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</si>
  <si>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</si>
  <si>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</si>
  <si>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</si>
  <si>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</si>
  <si>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</si>
  <si>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</si>
  <si>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</si>
  <si>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</si>
  <si>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</si>
  <si>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</si>
  <si>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</si>
  <si>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</si>
  <si>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</si>
  <si>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</si>
  <si>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</si>
  <si>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</si>
  <si>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</si>
  <si>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</si>
  <si>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</si>
  <si>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</si>
  <si>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</si>
  <si>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</si>
  <si>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</si>
  <si>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</si>
  <si>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</si>
  <si>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</si>
  <si>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</si>
  <si>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</si>
  <si>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</si>
  <si>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</si>
  <si>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</si>
  <si>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</si>
  <si>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</si>
  <si>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</si>
  <si>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</si>
  <si>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</si>
  <si>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</si>
  <si>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</si>
  <si>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</si>
  <si>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</si>
  <si>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</si>
  <si>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</si>
  <si>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</si>
  <si>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</si>
  <si>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</si>
  <si>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</si>
  <si>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</si>
  <si>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</si>
  <si>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</si>
  <si>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</si>
  <si>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</si>
  <si>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</si>
  <si>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</si>
  <si>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</si>
  <si>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</si>
  <si>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</si>
  <si>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</si>
  <si>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</si>
  <si>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</si>
  <si>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</si>
  <si>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</si>
  <si>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</si>
  <si>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</si>
  <si>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</si>
  <si>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</si>
  <si>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</si>
  <si>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</si>
  <si>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</si>
  <si>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</si>
  <si>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</si>
  <si>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</si>
  <si>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</si>
  <si>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</si>
  <si>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</si>
  <si>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</si>
  <si>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</si>
  <si>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</si>
  <si>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</si>
  <si>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</si>
  <si>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</si>
  <si>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</si>
  <si>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</si>
  <si>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</si>
  <si>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</si>
  <si>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</si>
  <si>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</si>
  <si>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</si>
  <si>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</si>
  <si>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</si>
  <si>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</si>
  <si>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</si>
  <si>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</si>
  <si>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</si>
  <si>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</si>
  <si>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</si>
  <si>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</si>
  <si>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</si>
  <si>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</si>
  <si>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</si>
  <si>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</si>
  <si>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</si>
  <si>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</si>
  <si>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</si>
  <si>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</si>
  <si>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</si>
  <si>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</si>
  <si>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</si>
  <si>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</si>
  <si>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</si>
  <si>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</si>
  <si>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</si>
  <si>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</si>
  <si>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</si>
  <si>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</si>
  <si>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</si>
  <si>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</si>
  <si>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</si>
  <si>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</si>
  <si>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</si>
  <si>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</si>
  <si>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</si>
  <si>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</si>
  <si>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</si>
  <si>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</si>
  <si>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</si>
  <si>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</si>
  <si>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</si>
  <si>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</si>
  <si>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</si>
  <si>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</si>
  <si>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</si>
  <si>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</si>
  <si>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</si>
  <si>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</si>
  <si>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</si>
  <si>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</si>
  <si>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</si>
  <si>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</si>
  <si>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</si>
  <si>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</si>
  <si>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</si>
  <si>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</si>
  <si>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</si>
  <si>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</si>
  <si>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</si>
  <si>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</si>
  <si>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</si>
  <si>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</si>
  <si>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</si>
  <si>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</si>
  <si>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</si>
  <si>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</si>
  <si>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</si>
  <si>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</si>
  <si>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</si>
  <si>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</si>
  <si>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</si>
  <si>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</si>
  <si>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</si>
  <si>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</si>
  <si>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</si>
  <si>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</si>
  <si>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</si>
  <si>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</si>
  <si>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</si>
  <si>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</si>
  <si>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</si>
  <si>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</si>
  <si>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</si>
  <si>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</si>
  <si>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</si>
  <si>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</si>
  <si>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</si>
  <si>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</si>
  <si>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</si>
  <si>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</si>
  <si>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</si>
  <si>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</si>
  <si>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</si>
  <si>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</si>
  <si>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</si>
  <si>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</si>
  <si>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</si>
  <si>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</si>
  <si>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</si>
  <si>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</si>
  <si>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</si>
  <si>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</si>
  <si>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</si>
  <si>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</si>
  <si>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</si>
  <si>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</si>
  <si>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</si>
  <si>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</si>
  <si>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</si>
  <si>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</si>
  <si>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</si>
  <si>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</si>
  <si>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</si>
  <si>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</si>
  <si>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</si>
  <si>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</si>
  <si>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</si>
  <si>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</si>
  <si>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</si>
  <si>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</si>
  <si>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</si>
  <si>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</si>
  <si>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</si>
  <si>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</si>
  <si>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</si>
  <si>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</si>
  <si>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</si>
  <si>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</si>
  <si>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</si>
  <si>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</si>
  <si>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</si>
  <si>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</si>
  <si>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</si>
  <si>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</si>
  <si>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</si>
  <si>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</si>
  <si>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</si>
  <si>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</si>
  <si>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</si>
  <si>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</si>
  <si>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</si>
  <si>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</si>
  <si>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</si>
  <si>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</si>
  <si>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</si>
  <si>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</si>
  <si>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</si>
  <si>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</si>
  <si>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</si>
  <si>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</si>
  <si>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</si>
  <si>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</si>
  <si>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</si>
  <si>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</si>
  <si>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</si>
  <si>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</si>
  <si>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</si>
  <si>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</si>
  <si>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</si>
  <si>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</si>
  <si>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</si>
  <si>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</si>
  <si>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</si>
  <si>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</si>
  <si>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</si>
  <si>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</si>
  <si>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</si>
  <si>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</si>
  <si>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</si>
  <si>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</si>
  <si>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</si>
  <si>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</si>
  <si>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</si>
  <si>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</si>
  <si>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</si>
  <si>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</si>
  <si>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</si>
  <si>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</si>
  <si>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</si>
  <si>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</si>
  <si>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</si>
  <si>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</si>
  <si>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</si>
  <si>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</si>
  <si>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</si>
  <si>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</si>
  <si>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</si>
  <si>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</si>
  <si>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</si>
  <si>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</si>
  <si>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</si>
  <si>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</si>
  <si>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</si>
  <si>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</si>
  <si>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</si>
  <si>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</si>
  <si>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</si>
  <si>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</si>
  <si>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</si>
  <si>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</si>
  <si>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</si>
  <si>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</si>
  <si>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</si>
  <si>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</si>
  <si>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</si>
  <si>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</si>
  <si>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</si>
  <si>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</si>
  <si>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</si>
  <si>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</si>
  <si>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</si>
  <si>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</si>
  <si>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</si>
  <si>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</si>
  <si>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</si>
  <si>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</si>
  <si>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</si>
  <si>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</si>
  <si>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</si>
  <si>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</si>
  <si>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</si>
  <si>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</si>
  <si>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</si>
  <si>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</si>
  <si>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</si>
  <si>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</si>
  <si>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</si>
  <si>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</si>
  <si>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</si>
  <si>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</si>
  <si>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</si>
  <si>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</si>
  <si>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</si>
  <si>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</si>
  <si>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</si>
  <si>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</si>
  <si>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</si>
  <si>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</si>
  <si>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</si>
  <si>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</si>
  <si>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</si>
  <si>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</si>
  <si>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</si>
  <si>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</si>
  <si>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</si>
  <si>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</si>
  <si>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</si>
  <si>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</si>
  <si>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</si>
  <si>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</si>
  <si>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</si>
  <si>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</si>
  <si>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</si>
  <si>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</si>
  <si>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</si>
  <si>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</si>
  <si>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</si>
  <si>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</si>
  <si>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</si>
  <si>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</si>
  <si>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</si>
  <si>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</si>
  <si>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</si>
  <si>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</si>
  <si>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</si>
  <si>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</si>
  <si>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</si>
  <si>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</si>
  <si>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</si>
  <si>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</si>
  <si>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</si>
  <si>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</si>
  <si>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</si>
  <si>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</si>
  <si>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</si>
  <si>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</si>
  <si>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</si>
  <si>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</si>
  <si>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</si>
  <si>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</si>
  <si>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</si>
  <si>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</si>
  <si>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</si>
  <si>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</si>
  <si>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</si>
  <si>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</si>
  <si>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</si>
  <si>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</si>
  <si>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</si>
  <si>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</si>
  <si>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</si>
  <si>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</si>
  <si>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</si>
  <si>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</si>
  <si>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</si>
  <si>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</si>
  <si>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</si>
  <si>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</si>
  <si>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</si>
  <si>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</si>
  <si>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</si>
  <si>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</si>
  <si>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</si>
  <si>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</si>
  <si>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</si>
  <si>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</si>
  <si>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</si>
  <si>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</si>
  <si>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</si>
  <si>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</si>
  <si>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</si>
  <si>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</si>
  <si>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</si>
  <si>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</si>
  <si>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</si>
  <si>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</si>
  <si>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</si>
  <si>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</si>
  <si>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</si>
  <si>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</si>
  <si>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</si>
  <si>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</si>
  <si>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</si>
  <si>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</si>
  <si>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</si>
  <si>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</si>
  <si>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</si>
  <si>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</si>
  <si>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</si>
  <si>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</si>
  <si>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</si>
  <si>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</si>
  <si>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</si>
  <si>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</si>
  <si>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</si>
  <si>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</si>
  <si>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</si>
  <si>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</si>
  <si>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</si>
  <si>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</si>
  <si>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</si>
  <si>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</si>
  <si>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</si>
  <si>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</si>
  <si>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</si>
  <si>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</si>
  <si>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</si>
  <si>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</si>
  <si>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</si>
  <si>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</si>
  <si>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</si>
  <si>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</si>
  <si>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</si>
  <si>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</si>
  <si>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</si>
  <si>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</si>
  <si>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</si>
  <si>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</si>
  <si>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</si>
  <si>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</si>
  <si>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</si>
  <si>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</si>
  <si>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</si>
  <si>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</si>
  <si>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</si>
  <si>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</si>
  <si>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</si>
  <si>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</si>
  <si>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</si>
  <si>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</si>
  <si>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</si>
  <si>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</si>
  <si>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</si>
  <si>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</si>
  <si>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</si>
  <si>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</si>
  <si>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</si>
  <si>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</si>
  <si>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</si>
  <si>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</si>
  <si>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</si>
  <si>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</si>
  <si>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</si>
  <si>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</si>
  <si>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</si>
  <si>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</si>
  <si>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</si>
  <si>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</si>
  <si>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</si>
  <si>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</si>
  <si>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</si>
  <si>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</si>
  <si>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</si>
  <si>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</si>
  <si>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</si>
  <si>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</si>
  <si>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</si>
  <si>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</si>
  <si>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</si>
  <si>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</si>
  <si>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</si>
  <si>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</si>
  <si>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</si>
  <si>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</si>
  <si>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</si>
  <si>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</si>
  <si>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</si>
  <si>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</si>
  <si>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</si>
  <si>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</si>
  <si>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</si>
  <si>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</si>
  <si>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</si>
  <si>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</si>
  <si>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</si>
  <si>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</si>
  <si>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</si>
  <si>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</si>
  <si>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</si>
  <si>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</si>
  <si>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</si>
  <si>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</si>
  <si>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</si>
  <si>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</si>
  <si>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</si>
  <si>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</si>
  <si>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</si>
  <si>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</si>
  <si>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</si>
  <si>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</si>
  <si>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</si>
  <si>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</si>
  <si>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</si>
  <si>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</si>
  <si>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</si>
  <si>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</si>
  <si>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</si>
  <si>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</si>
  <si>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</si>
  <si>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</si>
  <si>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</si>
  <si>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</si>
  <si>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</si>
  <si>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</si>
  <si>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</si>
  <si>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</si>
  <si>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</si>
  <si>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</si>
  <si>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</si>
  <si>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</si>
  <si>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</si>
  <si>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</si>
  <si>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</si>
  <si>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</si>
  <si>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</si>
  <si>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</si>
  <si>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</si>
  <si>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</si>
  <si>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</si>
  <si>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</si>
  <si>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</si>
  <si>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</si>
  <si>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</si>
  <si>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</si>
  <si>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</si>
  <si>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</si>
  <si>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</si>
  <si>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</si>
  <si>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</si>
  <si>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</si>
  <si>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</si>
  <si>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</si>
  <si>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</si>
  <si>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</si>
  <si>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</si>
  <si>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</si>
  <si>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</si>
  <si>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</si>
  <si>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</si>
  <si>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</si>
  <si>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</si>
  <si>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</si>
  <si>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</si>
  <si>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</si>
  <si>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</si>
  <si>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</si>
  <si>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</si>
  <si>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</si>
  <si>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</si>
  <si>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</si>
  <si>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</si>
  <si>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</si>
  <si>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</si>
  <si>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</si>
  <si>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</si>
  <si>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</si>
  <si>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</si>
  <si>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</si>
  <si>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</si>
  <si>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</si>
  <si>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</si>
  <si>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</si>
  <si>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</si>
  <si>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</si>
  <si>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</si>
  <si>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</si>
  <si>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</si>
  <si>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</si>
  <si>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</si>
  <si>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</si>
  <si>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</si>
  <si>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</si>
  <si>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</si>
  <si>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</si>
  <si>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</si>
  <si>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</si>
  <si>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</si>
  <si>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</si>
  <si>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</si>
  <si>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</si>
  <si>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</si>
  <si>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</si>
  <si>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</si>
  <si>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</si>
  <si>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</si>
  <si>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</si>
  <si>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</si>
  <si>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</si>
  <si>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</si>
  <si>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</si>
  <si>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</si>
  <si>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</si>
  <si>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</si>
  <si>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</si>
  <si>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</si>
  <si>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</si>
  <si>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</si>
  <si>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</si>
  <si>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</si>
  <si>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</si>
  <si>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</si>
  <si>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</si>
  <si>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</si>
  <si>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</si>
  <si>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</si>
  <si>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</si>
  <si>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</si>
  <si>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</si>
  <si>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</si>
  <si>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</si>
  <si>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</si>
  <si>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</si>
  <si>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</si>
  <si>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</si>
  <si>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</si>
  <si>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</si>
  <si>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</si>
  <si>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</si>
  <si>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</si>
  <si>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</si>
  <si>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</si>
  <si>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</si>
  <si>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</si>
  <si>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</si>
  <si>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</si>
  <si>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</si>
  <si>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</si>
  <si>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</si>
  <si>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</si>
  <si>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</si>
  <si>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</si>
  <si>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</si>
  <si>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</si>
  <si>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</si>
  <si>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</si>
  <si>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</si>
  <si>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</si>
  <si>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</si>
  <si>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</si>
  <si>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</si>
  <si>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</si>
  <si>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</si>
  <si>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</si>
  <si>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</si>
  <si>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</si>
  <si>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</si>
  <si>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</si>
  <si>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</si>
  <si>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</si>
  <si>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</si>
  <si>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</si>
  <si>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</si>
  <si>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</si>
  <si>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</si>
  <si>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</si>
  <si>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</si>
  <si>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</si>
  <si>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</si>
  <si>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</si>
  <si>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</si>
  <si>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</si>
  <si>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</si>
  <si>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</si>
  <si>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</si>
  <si>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</si>
  <si>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</si>
  <si>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</si>
  <si>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</si>
  <si>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</si>
  <si>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</si>
  <si>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</si>
  <si>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</si>
  <si>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</si>
  <si>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</si>
  <si>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</si>
  <si>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</si>
  <si>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</si>
  <si>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</si>
  <si>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</si>
  <si>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</si>
  <si>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</si>
  <si>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 xml:space="preserve">Mon </t>
  </si>
  <si>
    <t>Woke up at 5 am bed time last night was 850 pm. No rag</t>
  </si>
  <si>
    <t>woke up at 4 am bed by  10 pm. No rag.</t>
  </si>
  <si>
    <t>woke up at 430 am by alarm, bed by 10 pm. Had spotty rag in day.</t>
  </si>
  <si>
    <t>Woke up 4:30 am by alarm, no cramps when waking, no BM, no waist trimmer or compression socks worn all day, had a nap at 140 pm for 20 minutes. Was on a light rag. Bed was at 10 pm. No drinks of alcohol today. Texted Becky happy birthday earlier in day. Had 6 cups of coffee all day with creamer. light rag all day almost spotty.</t>
  </si>
  <si>
    <t>woke up at 530 am, bed time was 1130 pm got about 6 hours sleep. 5 multivitamins. Measurements taken after breakfast and 2 cups coffee. Went to bed at 830 pm. No BM all day.</t>
  </si>
  <si>
    <t xml:space="preserve">woke up at 510 am got about 8 hours sleep. No BM all day. Stress from CTAP midterm and FABS1 quiz having to study for after work on weekends for Monday morning and afternoon. </t>
  </si>
  <si>
    <t>Woke up at 4 am, lg BM after 3 cups coffee, had 5 multivitamins, ankles noticebly swollen but not much even with the multivitamins and not sitting so much while studying. I have been standing for studying most of the time. Got about 5 hours sleep and went to bed later in day at 10 pm</t>
  </si>
  <si>
    <t>aldi swiss slices, serving is 1 slice</t>
  </si>
  <si>
    <t>aldi instant hazelnut coffee creamer, serving is 4 tbs</t>
  </si>
  <si>
    <t>aldi Lovin Fresh white pita bread, serving is 1 pita</t>
  </si>
  <si>
    <t>sandwhich skinnys aldi brand whole wheat thin bagels serving is 1 roll</t>
  </si>
  <si>
    <t>aldi mixed nuts, serving is 1/4 cup</t>
  </si>
  <si>
    <t>Signature French Bread serving is 2 oz and 8 per pkg</t>
  </si>
  <si>
    <t>2 flour tortillas
(440.00	10.00	4.00	12.00	76.00	8.00	1360.00)
4 slices colby jack cheese
(280.00	24.00	14.00	20.00	0.00	0.00	460.00)
ev bagel
(240.00	2.50	0.50	9.00	47.00	3.00	600.00)
2 tbs creamchees
(100.00	10.00	6.00	2.00	2.00	0.00	105.00)
1/5 XL hersheys symphony candy bar
(480.00	28.80	16.00	9.60	54.40	3.20	160.00)
1/3 French bread bakery from Vons
(400.00	2.67	0.00	13.33	82.67	2.67	933.33)
15 coffee creamers
(525.00	22.50	0.00	0.00	75.00	0.00	225.00)
=440+280+240+100+480+400+525
=10+24+3+10+29+3+23
=4+14+1+6+16+0+0
=12+20+9+2+10+13+0
=76+0+47+2+54+83+75
=8+0+3+0+3+3+0
=1360+460+600+105+160+933+225</t>
  </si>
  <si>
    <t>2/3 french bread
(800.00	5.33	0.00	26.67	165.33	5.33	1866.67)
6 slices colby jack cheese
(350	30	17.5	25	0	0	575)
2 flour tortillas
(440	10	4	12	76	8	1360)
12 coffee creamers
(420	18	0	0	60	0	180)
mini pizza
(400	22	9	19	38	3	920)
=800+350+440+420+400
=5+30+10+18+22
=0+18+4+0+9
=27+25+12+0+19
=165+0+76+60+38
=5+0+8+0+3
=1867+575+1360+180+920</t>
  </si>
  <si>
    <t>12 creamers
(420	18	0	0	60	0	180)
3 tbs cream cheese
(150	15	9	3	3	0	157.5)
ev bagel
(240	2	0.5	8	46	2	630)
mini cheese pizza
(400	22	9	19	38	3	920)
2 slices colby jack cheese
(140	12	7	10	0	0	230)
1/5 hersheys symphony XL candy bar
(480	28.8	16	9.6	54.4	3.2	160)
=420+150+240+400+140+480
=18+15+2+22+12+29
=0+9+1+9+7+16
=0+3+8+19+10+10
=60+3+46+38+0+54
=0+0+2+3+0+3
=180+158+630+920+230+160</t>
  </si>
  <si>
    <t>2 cups pistachios
(640	52	6	24	32	12	540)
15 zucchini fingers/fries
(450	18	3	6	60	3	1080)
1 ev bagels
(240	2	0.5	8	46	2	630)
3 tbs cream cheese
(150	15	9	3	3	0	157.5)
1 plain Thomas's bagel
(270	1.5	0.5	9	53	2	450)
2 slices mozz cheese
(120	8	5	10	2	0	280)
=640+450+240+150+270+120
=52+18+2+15+2+8
=6+3+1+9+1+5
=24+6+8+3+9+10
=32+60+46+3+53+2
=12+3+2+0+2+0
=540+1080+630+158+450+280</t>
  </si>
  <si>
    <t>15 tbs oatmilk coffee creamer
(375	15	0	0	60	0	300)
3 plain bagels
(810	4.5	1.5	27	159	6	1350)
5 slices mozz cheese
(300	20	12.5	25	5	0	700)
=375+810+300
=15+5+20
=0+2+13
=0+27+25
=60+159+5
=0+6+0
=300+1350+700</t>
  </si>
  <si>
    <t>15 tbs oatmilk coffee creamer
(375	15	0	0	60	0	300)
4 tbs ampm int delt coffee creamer
(140	6	0	0	20	0	60)
2 string cheese mozz
(160	12	7	12	2	0	300)
2 string cheese colbyJack
(180	16	9	12	0	0	320)
3/4 bag 3 serving cheetos
(1350	84	13.5	15	126	6	2040)
2 plain bagels
(540	3	1	18	106	4	900)
1 ev bagel
(240	2	0.5	8	46	2	630)
3 slices mozz cheese
(180	12	7.5	15	3	0	420)
=375+140+160+180+1350+540+240+180
=15+6+12+16+84+3+2+12
=0+0+7+9+14+1+1+8
=0+0+12+12+15+18+8+15
=60+20+2+0+126+106+46+3
=0+0+0+0+6+4+2+0
=300+60+300+320+2040+900+630+420</t>
  </si>
  <si>
    <t>2 EV bagels
(480	4	1	16	92	4	1260)
3 tbs cream cheese
(150	15	9	3	3	0	157.5)
2 string cheese mozz
(160	12	7	12	2	0	300)
2 colby jack string cheese
(180	16	9	12	0	0	320)
1/4 bag of the 3 serving bag cheetos
(337.5	21	3.375	3.75	31.5	1.5	510)
baked cheddar potato chips a 3 serving bag
(360	10.5	1.5	6	66	3	750)
21 tbs oatmilk coffee creamer
(525	21	0	0	84	0	420)
=480+150+160+180+338+360+525
=4+15+12+16+21+11+21
=1+9+7+9+3+2+0
=16+3+12+12+4+6+0
=92+3+2+0+32+66+84
=4+0+0+0+2+3+0
=1260+158+300+320+510+750+420</t>
  </si>
  <si>
    <t>5 fruit snax aldi
(400	0	0	5	95	0	100)
2 pita
(360	0	0	12	78	2	420)
2 mozz string cheese
(160	12	7	12	2	0	300)
2 CJ string cheese
(180	16	9	12	0	0	320)
2 slices mozz
(120	8	5	10	2	0	280)
2 slices swiss
(140	12	7	10	0	0	70)
4 tbs instanst hazelnut coffee creamer
(60	2	1	0	9	0	0)
=400+360+160+180+120+140+60
=0+0+12+16+8+12+2
=0+0+7+9+5+7+1
=5+12+12+12+10+10+0
=95+78+2+0+2+0+9
=0+2+0+0+0+0+0
=100+420+300+320+280+70+0</t>
  </si>
  <si>
    <t>EV bagel
(240	2.5	0.5	9	47	3	600)
2 mozz string cheese
(160	12	7	12	2	0	300)
1/4 cup mixed nuts Aldi
(170	15	2	6	5	2	85)
5 fruit snax aldi
(400	0	0	5	95	0	100)
9 tbs oatmilk carmel coffee creamer
(225	9	0	0	36	0	180)
8 tbs instant hazelnut coffee creamer
(135	4.5	2.25	0	20.25	0	0)
2 wheat flat bagels from Aldi
(200.00	2.00	0.00	8.00	40.00	10.00	360.00)
1 slice mozz
(60	4	2.5	5	1	0	140)
1 slice swiss
(70	6	3.5	5	0	0	35)
=240+160+170+400+225+135+200+60+70
=3+12+15+0+9+5+2+4+6
=1+7+2+0+0+2+0+3+4
=9+12+6+5+0+0+8+5+5
=47+2+5+95+36+20+40+1+0
=3+0+2+0+0+0+10+0+0
=600+300+85+100+180+0+360+140+35</t>
  </si>
  <si>
    <t>4 tbs instant hazelnut coffee creamer
(60	2	1	0	9	0	0)
3 pitas
(540	0	0	18	117	3	630)
3 slices swiss
(210	18	10.5	15	0	0	105)
1 slice mozz
(60	4	2.5	5	1	0	140)
2 impossible burger patties
(480	28	16	38	18	6	740)
2 mozz string cheese
(160	12	7	12	2	0	300)
1 CJ string cheese
(90	8	4.5	6	0	0	160)
1 cup instant mashed potatos
(120	3	2	2	20	1	410)
=60+540+210+60+480+160+90+120
=2+0+18+4+28+12+8+3
=1+0+11+3+16+7+5+2
=0+18+15+5+38+12+6+2
=9+117+0+1+18+2+0+20
=0+3+0+0+6+0+0+1
=0+630+105+140+740+300+160+410</t>
  </si>
  <si>
    <t>4 flour tortillas
(440	10	4	12	76	8	1360)
3/2 cup mashed potatoes instant same as yesterday
(360	9	6	6	60	3	1230)
6 slices swiss cheese
(420	36	21	30	0	0	210)
1 stick CJ cheese
(90	8	4.5	6	0	0	160)
2 flat wheat bagels or bagel thins
(360	0	0	12	78	2	420)
8 tbs instant hazelnut coffee creamer
(120	4	2	0	18	0	0)
5 fruit snax aldi
(400	0	0	5	95	0	100)
=440+360+420+90+360+120+400
=10+9+36+8+0+4+0
=4+6+21+5+0+2+0
=12+6+30+6+12+0+5
=76+60+0+0+78+18+95
=8+3+0+0+2+0+0
=1360+1230+210+160+420+0+100</t>
  </si>
  <si>
    <t xml:space="preserve">woke up at 4 am by alarm and went to bed at 10 pm last night, but didn't get out of bed until 5 am. Was able to go back to sleep. Had a reg BM after 2nd cup coffee. Got Growly's meds, was studying. The last few notes were mixed up dates for last week so that is why they are minimal. I did a lot of stuying though and was stressed with midterms and work. This database is done. I don't have time. I will only keep track of it minimally but not rely on it to see the daily changes much less measurements, bc they are skewed and the new mm fat tool cuts and hurts to use so I eliminated it from use, it is inconsistent in results due to  the fact I can't get it to be precise bc it cuts into my skin. Measurements taken after 4 cups coffee and 1 decaf with instant hazelnut creamer. Bed time by 10 pm. </t>
  </si>
  <si>
    <t>L'oven Fresh Tandoori Naan pita bread, serving 1/2 slice, 2 servings:</t>
  </si>
  <si>
    <t>Jameson Whiskey and Patron tequila</t>
  </si>
  <si>
    <t>Woke up at 5 am and had about 7 hours sleep as bed time last night was around 10 pm. I slept in to the 5 am alarm after 4 am alarm. Had a tiny BM after 2 cups instant coffee. Pre-prepped my study dbs for the 2 quizzes tomorrow I plan on studying before returning from client's tonight after campus. My regular, she didn't cancel. Had a vision migraine after class and drank 7th cup instant coffee on way home w/o warming it up. Also had a cup of salted mixed nuts from aldi on way home. Bkfst was 2 flour tortillas with last of instant mashed potatoes and 2 slices swiss cheese, lunch was 5 fruit snx aldi brand. Had 3/4 coca cola of roommates at night when I had a pita bread and slice of CJ cheese and slice of mozz in airfryer. drank about 15 tbs instant creamer. No waist trimmer today bc of the campus class, did wear compression socks. Got back at 930 after Aldi trip after client's appointment. Waze had me take the 91fwy after school home btw from yorba linda blvd and arrived normal time about 20 minutes before time to leave to go to my client's house. Studied by answering 1st half of study guide questions in db I made for it with notes and already had the FABS db and study guide questions answered. bed time at 12 am. no problems sleeping</t>
  </si>
  <si>
    <t xml:space="preserve">Woke at 4 am by alarm, and finished last 1/2 study guide, had a lg BM after 2 cups instant coffee no creamer, and studied into memory from images in pdfs, labs, notes, and dbs I made for both courses, showered early and did more studying, got 80% in GA1 and 87% in FABS1. Went to campus tired on my 5th cup instant coffee. Wore waist trimmer and compression socks, but only the waist trimmer about 5 hours as CP1 class at 1 pm. Did cervicals and Atlas assessments. Been taking 5 mutis regularly. Had 6th cup coffee on way home. Brkfst much earlier was pita with 2 CJ/1mozz and lunch pita w/ 2 mozz/1CJ slices. Had 2 cups decaf too both with instant creamer and the one on way to school with instant creamer. About 9 tbs instant creamer. Mario in lab checked he had a cough system and was red screened btw and has to take a covid test today and tomorrow and be neg both times to go to class next week. No more quizzes this week but stuying for the CP1 and IPA1 quizzes next week. Updated the SOAP notes and receipt for client last night and input this data into db for today and yesterday and had a Jameson before starting then a pita with only 2 CJ slices before starting the patron. No ice ready for it and roommate was gone when I got home. I stole more of his stash that I replaced earlier. </t>
  </si>
  <si>
    <t>Jameson whiskey</t>
  </si>
  <si>
    <t xml:space="preserve">Woke up at 5 am after sleeping through 4 am alarm, laid in bed bc today long day with work until 10 pm after online courses. At work some female bum did a 90 minute and didn't leave gratuity. That always makes me not want to work when thankless people come in. I never had her before but her last name was Cota like the town a rapist that drugs pretty girls and rapes them named Jesse from 2003 lives in a place by that name, Cota de Casa. And she saw a dude named Chad in Ontario 3 times and Alex here and was wearing red lace thongs. Chad was a homeless dude that stayed with my ex's mom before she lost her house bc they knew him and his family but he was a gambling addict and a loser who quit bc he fell into drugs. </t>
  </si>
  <si>
    <t>2 flour tortillas
()
2 slices swiss
()
12 tbs instant coffee creamer hzlnt
()
pita bread
()2 flour tortillas
(220	5	2	6	38	4	680)
2 slices swiss
(140	12	7	10	0	0	70)
12 tbs instant coffee creamer hzlnt
(180	6	3	0	27	0	0)
pita bread
(200.00	2.00	0.00	8.00	38.00	4.00	400.00)
slice mozz
(60	4	2.5	5	1	0	140)
slice CJ
(70	5	3	4	0	0	105)
1 cup mixed and salted nuts
(340	30	4	12	10	4	170)
1 cup pistachios
(320	26	3	12	16	6	270)
=220+140+180+200+60+70+340+320
=5+12+6+2+4+5+30+26
=2+7+3+0+3+3+4+3
=6+10+0+8+5+4+12+12
=38+0+27+38+1+0+10+16
=4+0+0+4+0+0+4+6
=680+70+0+400+140+105+170+270
slice mozz
()
slice CJ
()
1 cup mixed and salted nuts
()
1 cup pistachios
()</t>
  </si>
  <si>
    <t xml:space="preserve">3 pita bread 
(930	18	3	27	159	6	2580)
5 CJ slices
(350	25	15	20	0	0	525)
4 mozz slices
(240	16	10	20	4	0	560)
1 cup pistachios
(320	26	3	12	16	6	270)
6 fruit snax
(480	0	0	6	114	0	120)
3 tbs creamer instant hazelnut
(60	2	1	0	9	0	0)
1/2 cup pistachios
(160.00	13.00	1.50	6.00	8.00	3.00	135.00)
=930+350+240+320+480+60+160
=18+25+16+26+0+2+13
=3+15+10+3+0+1+2
=27+20+20+12+6+0+6
=159+0+4+16+114+9+8
=6+0+0+6+0+0+3
=2580+525+560+270+120+0+135
</t>
  </si>
  <si>
    <t>potatoes au gratin, pkg, servings are 5/pkg add milk and butter but used creamcheese instead, pkg</t>
  </si>
  <si>
    <t xml:space="preserve">2 pita
(400	4	0	16	76	8	800)
5 slices CJ
(350	25	15	20	0	0	525)
1 flour tortilla
(110	2.5	1	3	19	2	340)
3 slices mozz
(180	12	7.5	15	3	0	420)
3 tbs cream cheese
(150	15	9	3	3	0	157.5)
3/4 potatoes au grautan
(562.5	22.5	13.125	7.5	86.25	3.75	1800)
9 tbs instant coffee creamer hazelnut
(120	4	2	0	18	0	0)
=400+350+110+180+150+563+120
=4+25+3+12+15+23+4
=0+15+1+8+9+13+2
=16+20+3+15+3+8+0
=76+0+19+3+3+86+18
=8+0+2+0+0+4+0
=800+525+340+420+158+1800+0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</si>
</sst>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52">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2" borderId="0" xfId="0" applyFill="1"/>
    <xf numFmtId="2" fontId="0" fillId="2" borderId="0" xfId="0" applyNumberFormat="1" applyFill="1"/>
    <xf numFmtId="2" fontId="0" fillId="2" borderId="0" xfId="0" applyNumberFormat="1" applyFill="1" applyAlignment="1">
      <alignment horizontal="center"/>
    </xf>
    <xf numFmtId="2" fontId="0" fillId="2" borderId="0" xfId="0" applyNumberFormat="1" applyFill="1" applyAlignment="1">
      <alignment vertical="top"/>
    </xf>
    <xf numFmtId="0" fontId="0" fillId="2" borderId="0" xfId="0" applyFill="1" applyAlignment="1">
      <alignment vertical="top"/>
    </xf>
    <xf numFmtId="14" fontId="0" fillId="0" borderId="0" xfId="0" applyNumberFormat="1" applyFill="1" applyAlignment="1">
      <alignment vertical="center" wrapText="1"/>
    </xf>
    <xf numFmtId="18" fontId="0" fillId="0" borderId="0" xfId="0" applyNumberFormat="1" applyFill="1" applyAlignment="1">
      <alignment vertical="center" wrapText="1"/>
    </xf>
    <xf numFmtId="1" fontId="0" fillId="0" borderId="0" xfId="0" applyNumberFormat="1" applyFill="1" applyAlignment="1">
      <alignment vertical="center" wrapText="1"/>
    </xf>
    <xf numFmtId="2" fontId="0" fillId="0" borderId="0" xfId="0" applyNumberFormat="1" applyFill="1" applyAlignment="1">
      <alignment vertical="center" wrapText="1"/>
    </xf>
    <xf numFmtId="2" fontId="0" fillId="0" borderId="0" xfId="0" applyNumberFormat="1" applyFill="1" applyAlignment="1">
      <alignment horizontal="center" vertical="center" wrapText="1"/>
    </xf>
    <xf numFmtId="2" fontId="0" fillId="2" borderId="0" xfId="0" applyNumberFormat="1" applyFill="1" applyAlignment="1">
      <alignment vertical="center" wrapText="1"/>
    </xf>
    <xf numFmtId="14" fontId="0" fillId="0" borderId="0" xfId="0" applyNumberFormat="1" applyFill="1" applyAlignment="1">
      <alignment horizontal="center" vertical="center" wrapText="1"/>
    </xf>
    <xf numFmtId="18" fontId="0" fillId="0" borderId="0" xfId="0" applyNumberFormat="1" applyFill="1" applyAlignment="1">
      <alignment horizontal="center" vertical="center" wrapText="1"/>
    </xf>
    <xf numFmtId="2" fontId="0" fillId="2" borderId="0" xfId="0" applyNumberFormat="1" applyFill="1" applyAlignment="1">
      <alignment horizontal="center" vertical="center" wrapText="1"/>
    </xf>
    <xf numFmtId="0" fontId="0" fillId="2" borderId="0" xfId="0" applyFill="1" applyAlignment="1">
      <alignment horizontal="center" vertical="center" wrapText="1"/>
    </xf>
    <xf numFmtId="14" fontId="0" fillId="0" borderId="0" xfId="0" applyNumberFormat="1" applyFill="1" applyAlignment="1">
      <alignment vertical="top" wrapText="1"/>
    </xf>
    <xf numFmtId="18" fontId="0" fillId="0" borderId="0" xfId="0" applyNumberFormat="1" applyFill="1" applyAlignment="1">
      <alignment vertical="top" wrapText="1"/>
    </xf>
    <xf numFmtId="1" fontId="0" fillId="0" borderId="0" xfId="0" applyNumberFormat="1" applyFill="1" applyAlignment="1">
      <alignment vertical="top" wrapText="1"/>
    </xf>
    <xf numFmtId="2" fontId="0" fillId="0" borderId="0" xfId="0" applyNumberFormat="1" applyFill="1" applyAlignment="1">
      <alignment vertical="top" wrapText="1"/>
    </xf>
    <xf numFmtId="2" fontId="0" fillId="2" borderId="0" xfId="0" applyNumberFormat="1" applyFill="1" applyAlignment="1">
      <alignment vertical="top" wrapText="1"/>
    </xf>
    <xf numFmtId="2" fontId="0" fillId="0" borderId="0" xfId="0" applyNumberFormat="1" applyFill="1" applyAlignment="1">
      <alignment horizontal="center" vertical="top" wrapText="1"/>
    </xf>
    <xf numFmtId="1" fontId="0" fillId="0" borderId="0" xfId="0" applyNumberFormat="1" applyFill="1" applyAlignment="1">
      <alignment horizontal="center" vertical="top" wrapText="1"/>
    </xf>
    <xf numFmtId="0" fontId="0" fillId="0" borderId="0" xfId="0"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58"/>
  <sheetViews>
    <sheetView workbookViewId="0">
      <pane ySplit="1" topLeftCell="A639" activePane="bottomLeft" state="frozen"/>
      <selection pane="bottomLeft" activeCell="B658" sqref="B658:H658"/>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1442</v>
      </c>
      <c r="B644">
        <v>25</v>
      </c>
      <c r="C644">
        <v>1</v>
      </c>
      <c r="D644">
        <v>0</v>
      </c>
      <c r="E644">
        <v>0</v>
      </c>
      <c r="F644">
        <v>4</v>
      </c>
      <c r="G644">
        <v>0</v>
      </c>
      <c r="H644">
        <v>20</v>
      </c>
    </row>
    <row r="645" spans="1:8" x14ac:dyDescent="0.3">
      <c r="A645" s="16" t="s">
        <v>1443</v>
      </c>
      <c r="B645">
        <v>70</v>
      </c>
      <c r="C645">
        <v>4.5</v>
      </c>
      <c r="D645">
        <v>2.5</v>
      </c>
      <c r="E645">
        <v>5</v>
      </c>
      <c r="F645">
        <v>1</v>
      </c>
      <c r="G645">
        <v>0</v>
      </c>
      <c r="H645">
        <v>150</v>
      </c>
    </row>
    <row r="646" spans="1:8" x14ac:dyDescent="0.3">
      <c r="A646" s="16" t="s">
        <v>1444</v>
      </c>
      <c r="B646">
        <v>270</v>
      </c>
      <c r="C646">
        <v>1.5</v>
      </c>
      <c r="D646">
        <v>0.5</v>
      </c>
      <c r="E646">
        <v>9</v>
      </c>
      <c r="F646">
        <v>53</v>
      </c>
      <c r="G646">
        <v>2</v>
      </c>
      <c r="H646">
        <v>450</v>
      </c>
    </row>
    <row r="647" spans="1:8" x14ac:dyDescent="0.3">
      <c r="A647" s="16" t="s">
        <v>1445</v>
      </c>
      <c r="B647">
        <v>100</v>
      </c>
      <c r="C647">
        <v>10</v>
      </c>
      <c r="D647">
        <v>6</v>
      </c>
      <c r="E647">
        <v>2</v>
      </c>
      <c r="F647">
        <v>2</v>
      </c>
      <c r="G647">
        <v>0</v>
      </c>
      <c r="H647">
        <v>105</v>
      </c>
    </row>
    <row r="648" spans="1:8" x14ac:dyDescent="0.3">
      <c r="A648" s="16" t="s">
        <v>1446</v>
      </c>
      <c r="B648">
        <v>80</v>
      </c>
      <c r="C648">
        <v>6</v>
      </c>
      <c r="D648">
        <v>3.5</v>
      </c>
      <c r="E648">
        <v>6</v>
      </c>
      <c r="F648">
        <v>1</v>
      </c>
      <c r="G648">
        <v>0</v>
      </c>
      <c r="H648">
        <v>150</v>
      </c>
    </row>
    <row r="649" spans="1:8" x14ac:dyDescent="0.3">
      <c r="A649" s="16" t="s">
        <v>1447</v>
      </c>
      <c r="B649">
        <v>90</v>
      </c>
      <c r="C649">
        <v>8</v>
      </c>
      <c r="D649">
        <v>4.5</v>
      </c>
      <c r="E649">
        <v>6</v>
      </c>
      <c r="F649">
        <v>0</v>
      </c>
      <c r="G649">
        <v>0</v>
      </c>
      <c r="H649">
        <v>160</v>
      </c>
    </row>
    <row r="650" spans="1:8" x14ac:dyDescent="0.3">
      <c r="A650" s="16" t="s">
        <v>1457</v>
      </c>
      <c r="B650">
        <v>70</v>
      </c>
      <c r="C650">
        <v>6</v>
      </c>
      <c r="D650">
        <v>3.5</v>
      </c>
      <c r="E650">
        <v>5</v>
      </c>
      <c r="F650">
        <v>0</v>
      </c>
      <c r="G650">
        <v>0</v>
      </c>
      <c r="H650">
        <v>35</v>
      </c>
    </row>
    <row r="651" spans="1:8" x14ac:dyDescent="0.3">
      <c r="A651" s="16" t="s">
        <v>1458</v>
      </c>
      <c r="B651">
        <v>60</v>
      </c>
      <c r="C651">
        <v>2</v>
      </c>
      <c r="D651">
        <v>1</v>
      </c>
      <c r="E651">
        <v>0</v>
      </c>
      <c r="F651">
        <v>9</v>
      </c>
      <c r="G651">
        <v>0</v>
      </c>
      <c r="H651">
        <v>0</v>
      </c>
    </row>
    <row r="652" spans="1:8" x14ac:dyDescent="0.3">
      <c r="A652" s="16" t="s">
        <v>1459</v>
      </c>
      <c r="B652">
        <v>180</v>
      </c>
      <c r="C652">
        <v>0</v>
      </c>
      <c r="D652">
        <v>0</v>
      </c>
      <c r="E652">
        <v>6</v>
      </c>
      <c r="F652">
        <v>39</v>
      </c>
      <c r="G652">
        <v>1</v>
      </c>
      <c r="H652">
        <v>210</v>
      </c>
    </row>
    <row r="653" spans="1:8" x14ac:dyDescent="0.3">
      <c r="A653" s="16" t="s">
        <v>1460</v>
      </c>
      <c r="B653">
        <v>100</v>
      </c>
      <c r="C653">
        <v>1</v>
      </c>
      <c r="D653">
        <v>0</v>
      </c>
      <c r="E653">
        <v>4</v>
      </c>
      <c r="F653">
        <v>20</v>
      </c>
      <c r="G653">
        <v>5</v>
      </c>
      <c r="H653">
        <v>180</v>
      </c>
    </row>
    <row r="654" spans="1:8" x14ac:dyDescent="0.3">
      <c r="A654" s="16" t="s">
        <v>1461</v>
      </c>
      <c r="B654">
        <v>170</v>
      </c>
      <c r="C654">
        <v>15</v>
      </c>
      <c r="D654">
        <v>2</v>
      </c>
      <c r="E654">
        <v>6</v>
      </c>
      <c r="F654">
        <v>5</v>
      </c>
      <c r="G654">
        <v>2</v>
      </c>
      <c r="H654">
        <v>85</v>
      </c>
    </row>
    <row r="655" spans="1:8" x14ac:dyDescent="0.3">
      <c r="A655" s="16" t="s">
        <v>1462</v>
      </c>
      <c r="B655">
        <v>150</v>
      </c>
      <c r="C655">
        <v>1</v>
      </c>
      <c r="D655">
        <v>0</v>
      </c>
      <c r="E655">
        <v>5</v>
      </c>
      <c r="F655">
        <v>31</v>
      </c>
      <c r="G655">
        <v>1</v>
      </c>
      <c r="H655">
        <v>350</v>
      </c>
    </row>
    <row r="656" spans="1:8" x14ac:dyDescent="0.3">
      <c r="A656" s="16" t="s">
        <v>1475</v>
      </c>
      <c r="B656" s="17">
        <v>310</v>
      </c>
      <c r="C656" s="17">
        <v>6</v>
      </c>
      <c r="D656" s="17">
        <v>1</v>
      </c>
      <c r="E656" s="17">
        <v>9</v>
      </c>
      <c r="F656" s="17">
        <v>53</v>
      </c>
      <c r="G656" s="17">
        <v>2</v>
      </c>
      <c r="H656" s="17">
        <v>860</v>
      </c>
    </row>
    <row r="657" spans="1:8" x14ac:dyDescent="0.3">
      <c r="A657" s="16" t="s">
        <v>1483</v>
      </c>
      <c r="B657">
        <f>150*5</f>
        <v>750</v>
      </c>
      <c r="C657">
        <f>6*5</f>
        <v>30</v>
      </c>
      <c r="D657">
        <f>3.5*5</f>
        <v>17.5</v>
      </c>
      <c r="E657">
        <f>2*5</f>
        <v>10</v>
      </c>
      <c r="F657">
        <f>23*5</f>
        <v>115</v>
      </c>
      <c r="G657">
        <f>1*5</f>
        <v>5</v>
      </c>
      <c r="H657">
        <f>480*5</f>
        <v>2400</v>
      </c>
    </row>
    <row r="658" spans="1:8" x14ac:dyDescent="0.3">
      <c r="B658">
        <f>0.75*B657</f>
        <v>562.5</v>
      </c>
      <c r="C658">
        <f t="shared" ref="C658:H658" si="130">0.75*C657</f>
        <v>22.5</v>
      </c>
      <c r="D658">
        <f t="shared" si="130"/>
        <v>13.125</v>
      </c>
      <c r="E658">
        <f t="shared" si="130"/>
        <v>7.5</v>
      </c>
      <c r="F658">
        <f t="shared" si="130"/>
        <v>86.25</v>
      </c>
      <c r="G658">
        <f t="shared" si="130"/>
        <v>3.75</v>
      </c>
      <c r="H658">
        <f t="shared" si="130"/>
        <v>1800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68"/>
  <sheetViews>
    <sheetView tabSelected="1" topLeftCell="AD1" zoomScale="74" zoomScaleNormal="85" workbookViewId="0">
      <pane ySplit="1" topLeftCell="A288" activePane="bottomLeft" state="frozen"/>
      <selection pane="bottomLeft" activeCell="AL300" sqref="AL30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ustomWidth="1"/>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28" customWidth="1"/>
    <col min="47" max="47" width="29.44140625" style="27" customWidth="1"/>
    <col min="48" max="48" width="32.6640625" style="28"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28" t="s">
        <v>21</v>
      </c>
      <c r="AS1" s="27" t="s">
        <v>91</v>
      </c>
      <c r="AT1" s="27" t="s">
        <v>92</v>
      </c>
      <c r="AU1" s="27" t="s">
        <v>98</v>
      </c>
      <c r="AV1" s="2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28" t="s">
        <v>72</v>
      </c>
      <c r="AS2" s="28">
        <v>0</v>
      </c>
      <c r="AT2" s="28" t="s">
        <v>97</v>
      </c>
      <c r="AU2" s="27">
        <v>0</v>
      </c>
      <c r="AV2" s="28">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28">
        <v>0</v>
      </c>
      <c r="AS3" s="28">
        <v>0</v>
      </c>
      <c r="AT3" s="28">
        <v>0</v>
      </c>
      <c r="AU3" s="27">
        <v>0</v>
      </c>
      <c r="AV3" s="28">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28">
        <v>0</v>
      </c>
      <c r="AS4" s="28">
        <v>0</v>
      </c>
      <c r="AT4" s="28">
        <v>0</v>
      </c>
      <c r="AU4" s="27">
        <v>0</v>
      </c>
      <c r="AV4" s="28">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28" t="s">
        <v>113</v>
      </c>
      <c r="AS5" s="28">
        <v>0</v>
      </c>
      <c r="AT5" s="28">
        <v>0</v>
      </c>
      <c r="AU5" s="27">
        <v>0</v>
      </c>
      <c r="AV5" s="28">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28">
        <v>0</v>
      </c>
      <c r="AS6" s="28">
        <v>0</v>
      </c>
      <c r="AT6" s="28">
        <v>0</v>
      </c>
      <c r="AU6" s="27">
        <v>0</v>
      </c>
      <c r="AV6" s="28">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28" t="s">
        <v>129</v>
      </c>
      <c r="AS7" s="28" t="s">
        <v>130</v>
      </c>
      <c r="AU7" s="27">
        <f>5+10+10</f>
        <v>25</v>
      </c>
      <c r="AV7" s="28">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28">
        <v>0</v>
      </c>
      <c r="AS8" s="28">
        <v>0</v>
      </c>
      <c r="AT8" s="28">
        <v>0</v>
      </c>
      <c r="AU8" s="27">
        <v>0</v>
      </c>
      <c r="AV8" s="28">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28" t="s">
        <v>139</v>
      </c>
      <c r="AS9" s="28" t="s">
        <v>138</v>
      </c>
      <c r="AT9" s="28">
        <v>0</v>
      </c>
      <c r="AU9" s="27">
        <v>0</v>
      </c>
      <c r="AV9" s="28">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28" t="s">
        <v>139</v>
      </c>
      <c r="AS10" s="28" t="s">
        <v>138</v>
      </c>
      <c r="AT10" s="28">
        <v>0</v>
      </c>
      <c r="AU10" s="27">
        <v>0</v>
      </c>
      <c r="AV10" s="28">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28">
        <v>0</v>
      </c>
      <c r="AS11" s="28">
        <v>0</v>
      </c>
      <c r="AT11" s="28">
        <v>0</v>
      </c>
      <c r="AU11" s="27">
        <v>0</v>
      </c>
      <c r="AV11" s="28">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28" t="s">
        <v>147</v>
      </c>
      <c r="AS12" s="28" t="s">
        <v>149</v>
      </c>
      <c r="AT12" s="28" t="s">
        <v>148</v>
      </c>
      <c r="AU12" s="27">
        <v>20</v>
      </c>
      <c r="AV12" s="28">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28" t="s">
        <v>147</v>
      </c>
      <c r="AS13" s="28" t="s">
        <v>149</v>
      </c>
      <c r="AT13" s="28" t="s">
        <v>148</v>
      </c>
      <c r="AU13" s="27">
        <v>20</v>
      </c>
      <c r="AV13" s="28">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27">
        <v>0</v>
      </c>
      <c r="AS14" s="27">
        <v>0</v>
      </c>
      <c r="AT14" s="28">
        <v>0</v>
      </c>
      <c r="AU14" s="27">
        <v>0</v>
      </c>
      <c r="AV14" s="28">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28" t="s">
        <v>159</v>
      </c>
      <c r="AS15" s="28" t="s">
        <v>160</v>
      </c>
      <c r="AU15" s="27">
        <f>5*7</f>
        <v>35</v>
      </c>
      <c r="AV15" s="28">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28" t="s">
        <v>159</v>
      </c>
      <c r="AS16" s="28" t="s">
        <v>160</v>
      </c>
      <c r="AU16" s="27">
        <f>5*7</f>
        <v>35</v>
      </c>
      <c r="AV16" s="28">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27">
        <v>0</v>
      </c>
      <c r="AS17" s="27">
        <v>0</v>
      </c>
      <c r="AT17" s="27">
        <v>0</v>
      </c>
      <c r="AU17" s="27">
        <v>0</v>
      </c>
      <c r="AV17" s="28">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27">
        <v>0</v>
      </c>
      <c r="AS18" s="27">
        <v>0</v>
      </c>
      <c r="AT18" s="27">
        <v>0</v>
      </c>
      <c r="AU18" s="27">
        <v>0</v>
      </c>
      <c r="AV18" s="28">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28" t="s">
        <v>171</v>
      </c>
      <c r="AS19" s="27">
        <v>0</v>
      </c>
      <c r="AT19" s="27">
        <v>0</v>
      </c>
      <c r="AU19" s="27">
        <v>0</v>
      </c>
      <c r="AV19" s="28">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28" t="s">
        <v>171</v>
      </c>
      <c r="AS20" s="27">
        <v>0</v>
      </c>
      <c r="AT20" s="27">
        <v>0</v>
      </c>
      <c r="AU20" s="27">
        <v>0</v>
      </c>
      <c r="AV20" s="28">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27">
        <v>0</v>
      </c>
      <c r="AS21" s="27">
        <v>0</v>
      </c>
      <c r="AT21" s="27">
        <v>0</v>
      </c>
      <c r="AU21" s="27">
        <v>0</v>
      </c>
      <c r="AV21" s="28">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27">
        <v>0</v>
      </c>
      <c r="AS22" s="27">
        <v>0</v>
      </c>
      <c r="AT22" s="27">
        <v>0</v>
      </c>
      <c r="AU22" s="27">
        <v>0</v>
      </c>
      <c r="AV22" s="28">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28" t="s">
        <v>193</v>
      </c>
      <c r="AS23" s="28" t="s">
        <v>254</v>
      </c>
      <c r="AT23" s="27" t="s">
        <v>255</v>
      </c>
      <c r="AU23" s="27">
        <v>10</v>
      </c>
      <c r="AV23" s="28">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28" t="s">
        <v>193</v>
      </c>
      <c r="AS24" s="28" t="s">
        <v>254</v>
      </c>
      <c r="AT24" s="27" t="s">
        <v>255</v>
      </c>
      <c r="AU24" s="27">
        <v>10</v>
      </c>
      <c r="AV24" s="28">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27">
        <v>0</v>
      </c>
      <c r="AS25" s="27">
        <v>0</v>
      </c>
      <c r="AT25" s="27">
        <v>0</v>
      </c>
      <c r="AU25" s="27">
        <v>0</v>
      </c>
      <c r="AV25" s="28">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27">
        <v>0</v>
      </c>
      <c r="AS26" s="27">
        <v>0</v>
      </c>
      <c r="AT26" s="27">
        <v>0</v>
      </c>
      <c r="AU26" s="27">
        <v>0</v>
      </c>
      <c r="AV26" s="28">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28" t="s">
        <v>257</v>
      </c>
      <c r="AS27" s="27" t="s">
        <v>260</v>
      </c>
      <c r="AT27" s="27">
        <v>0</v>
      </c>
      <c r="AU27" s="27">
        <f>5+10+5+5+5+10+10+10</f>
        <v>60</v>
      </c>
      <c r="AV27" s="2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28" t="s">
        <v>257</v>
      </c>
      <c r="AS28" s="27" t="s">
        <v>260</v>
      </c>
      <c r="AT28" s="27">
        <v>0</v>
      </c>
      <c r="AU28" s="27">
        <f>5+10+5+5+5+10+10+10</f>
        <v>60</v>
      </c>
      <c r="AV28" s="2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28" t="s">
        <v>257</v>
      </c>
      <c r="AS29" s="27" t="s">
        <v>260</v>
      </c>
      <c r="AT29" s="27">
        <v>0</v>
      </c>
      <c r="AU29" s="27">
        <f>5+10+5+5+5+10+10+10</f>
        <v>60</v>
      </c>
      <c r="AV29" s="2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27">
        <v>0</v>
      </c>
      <c r="AS30" s="27">
        <v>0</v>
      </c>
      <c r="AT30" s="27">
        <v>0</v>
      </c>
      <c r="AU30" s="27">
        <v>0</v>
      </c>
      <c r="AV30" s="2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28">
        <v>0</v>
      </c>
      <c r="AS31" s="28">
        <v>0</v>
      </c>
      <c r="AT31" s="27">
        <v>0</v>
      </c>
      <c r="AU31" s="27">
        <v>0</v>
      </c>
      <c r="AV31" s="2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27">
        <v>0</v>
      </c>
      <c r="AS32" s="27">
        <v>0</v>
      </c>
      <c r="AT32" s="27">
        <v>0</v>
      </c>
      <c r="AU32" s="27">
        <v>0</v>
      </c>
      <c r="AV32" s="2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28">
        <v>0</v>
      </c>
      <c r="AS33" s="27">
        <v>0</v>
      </c>
      <c r="AT33" s="27">
        <v>0</v>
      </c>
      <c r="AU33" s="27">
        <v>0</v>
      </c>
      <c r="AV33" s="2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28">
        <v>0</v>
      </c>
      <c r="AS34" s="27">
        <v>0</v>
      </c>
      <c r="AT34" s="27">
        <v>0</v>
      </c>
      <c r="AU34" s="27">
        <v>0</v>
      </c>
      <c r="AV34" s="2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28" t="s">
        <v>290</v>
      </c>
      <c r="AS35" s="28" t="s">
        <v>291</v>
      </c>
      <c r="AT35" s="27">
        <v>0</v>
      </c>
      <c r="AU35" s="27">
        <v>5</v>
      </c>
      <c r="AV35" s="2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28">
        <v>0</v>
      </c>
      <c r="AS36" s="27">
        <v>0</v>
      </c>
      <c r="AT36" s="27">
        <v>0</v>
      </c>
      <c r="AU36" s="27">
        <v>0</v>
      </c>
      <c r="AV36" s="2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28">
        <v>0</v>
      </c>
      <c r="AS37" s="27">
        <v>0</v>
      </c>
      <c r="AT37" s="27">
        <v>0</v>
      </c>
      <c r="AU37" s="27">
        <v>0</v>
      </c>
      <c r="AV37" s="2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28">
        <v>0</v>
      </c>
      <c r="AS38" s="27">
        <v>0</v>
      </c>
      <c r="AT38" s="27">
        <v>0</v>
      </c>
      <c r="AU38" s="27">
        <v>0</v>
      </c>
      <c r="AV38" s="2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28">
        <v>0</v>
      </c>
      <c r="AS39" s="27">
        <v>0</v>
      </c>
      <c r="AT39" s="27">
        <v>0</v>
      </c>
      <c r="AU39" s="27">
        <v>0</v>
      </c>
      <c r="AV39" s="2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28">
        <v>0</v>
      </c>
      <c r="AS40" s="27">
        <v>0</v>
      </c>
      <c r="AT40" s="27">
        <v>0</v>
      </c>
      <c r="AU40" s="27">
        <v>0</v>
      </c>
      <c r="AV40" s="2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28">
        <v>0</v>
      </c>
      <c r="AS41" s="27">
        <v>0</v>
      </c>
      <c r="AT41" s="27">
        <v>0</v>
      </c>
      <c r="AU41" s="27">
        <v>0</v>
      </c>
      <c r="AV41" s="2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28" t="s">
        <v>326</v>
      </c>
      <c r="AS42" s="27" t="s">
        <v>325</v>
      </c>
      <c r="AT42" s="27">
        <v>0</v>
      </c>
      <c r="AU42" s="27">
        <v>20</v>
      </c>
      <c r="AV42" s="2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28">
        <v>0</v>
      </c>
      <c r="AS43" s="27">
        <v>0</v>
      </c>
      <c r="AT43" s="27">
        <v>0</v>
      </c>
      <c r="AU43" s="27">
        <v>0</v>
      </c>
      <c r="AV43" s="2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28">
        <v>0</v>
      </c>
      <c r="AS44" s="27">
        <v>0</v>
      </c>
      <c r="AT44" s="27">
        <v>0</v>
      </c>
      <c r="AU44" s="27">
        <v>0</v>
      </c>
      <c r="AV44" s="2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28">
        <v>0</v>
      </c>
      <c r="AS45" s="27">
        <v>0</v>
      </c>
      <c r="AT45" s="27">
        <v>0</v>
      </c>
      <c r="AU45" s="27">
        <v>0</v>
      </c>
      <c r="AV45" s="2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28">
        <v>0</v>
      </c>
      <c r="AS46" s="27">
        <v>0</v>
      </c>
      <c r="AT46" s="27">
        <v>0</v>
      </c>
      <c r="AU46" s="27">
        <v>0</v>
      </c>
      <c r="AV46" s="2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28">
        <v>0</v>
      </c>
      <c r="AS47" s="27">
        <v>0</v>
      </c>
      <c r="AT47" s="27">
        <v>0</v>
      </c>
      <c r="AU47" s="27">
        <v>0</v>
      </c>
      <c r="AV47" s="2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28">
        <v>0</v>
      </c>
      <c r="AS48" s="27">
        <v>0</v>
      </c>
      <c r="AT48" s="27">
        <v>0</v>
      </c>
      <c r="AU48" s="27">
        <v>0</v>
      </c>
      <c r="AV48" s="2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28">
        <v>0</v>
      </c>
      <c r="AS49" s="27">
        <v>0</v>
      </c>
      <c r="AT49" s="27">
        <v>0</v>
      </c>
      <c r="AU49" s="27">
        <v>0</v>
      </c>
      <c r="AV49" s="2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28" t="s">
        <v>356</v>
      </c>
      <c r="AS50" s="27">
        <v>0</v>
      </c>
      <c r="AT50" s="27">
        <v>0</v>
      </c>
      <c r="AU50" s="27">
        <v>0</v>
      </c>
      <c r="AV50" s="2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28">
        <v>0</v>
      </c>
      <c r="AS51" s="27">
        <v>0</v>
      </c>
      <c r="AT51" s="27">
        <v>0</v>
      </c>
      <c r="AU51" s="27">
        <v>0</v>
      </c>
      <c r="AV51" s="2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28">
        <v>0</v>
      </c>
      <c r="AS52" s="27">
        <v>0</v>
      </c>
      <c r="AT52" s="27">
        <v>0</v>
      </c>
      <c r="AU52" s="27">
        <v>0</v>
      </c>
      <c r="AV52" s="2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28">
        <v>0</v>
      </c>
      <c r="AS53" s="27">
        <v>0</v>
      </c>
      <c r="AT53" s="27">
        <v>0</v>
      </c>
      <c r="AU53" s="27">
        <v>0</v>
      </c>
      <c r="AV53" s="2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28" t="s">
        <v>380</v>
      </c>
      <c r="AS54" s="27">
        <v>0</v>
      </c>
      <c r="AT54" s="27" t="s">
        <v>379</v>
      </c>
      <c r="AU54" s="27">
        <v>0</v>
      </c>
      <c r="AV54" s="2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28">
        <v>0</v>
      </c>
      <c r="AS55" s="27">
        <v>0</v>
      </c>
      <c r="AT55" s="27">
        <v>0</v>
      </c>
      <c r="AU55" s="27">
        <v>0</v>
      </c>
      <c r="AV55" s="2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28">
        <v>0</v>
      </c>
      <c r="AS56" s="27">
        <v>0</v>
      </c>
      <c r="AT56" s="27">
        <v>0</v>
      </c>
      <c r="AU56" s="27">
        <v>0</v>
      </c>
      <c r="AV56" s="2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28">
        <v>0</v>
      </c>
      <c r="AS57" s="27">
        <v>0</v>
      </c>
      <c r="AT57" s="27">
        <v>0</v>
      </c>
      <c r="AU57" s="27">
        <v>0</v>
      </c>
      <c r="AV57" s="2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28">
        <v>0</v>
      </c>
      <c r="AS58" s="27">
        <v>0</v>
      </c>
      <c r="AT58" s="27">
        <v>0</v>
      </c>
      <c r="AU58" s="27">
        <v>0</v>
      </c>
      <c r="AV58" s="2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28">
        <v>0</v>
      </c>
      <c r="AS59" s="27">
        <v>0</v>
      </c>
      <c r="AT59" s="27">
        <v>0</v>
      </c>
      <c r="AU59" s="27">
        <v>0</v>
      </c>
      <c r="AV59" s="2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28">
        <v>0</v>
      </c>
      <c r="AS60" s="27">
        <v>0</v>
      </c>
      <c r="AT60" s="27">
        <v>0</v>
      </c>
      <c r="AU60" s="27">
        <v>0</v>
      </c>
      <c r="AV60" s="2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28">
        <v>0</v>
      </c>
      <c r="AS61" s="27">
        <v>0</v>
      </c>
      <c r="AT61" s="27">
        <v>0</v>
      </c>
      <c r="AU61" s="27">
        <v>0</v>
      </c>
      <c r="AV61" s="2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28">
        <v>0</v>
      </c>
      <c r="AS62" s="27">
        <v>0</v>
      </c>
      <c r="AT62" s="27">
        <v>0</v>
      </c>
      <c r="AU62" s="27">
        <v>0</v>
      </c>
      <c r="AV62" s="2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28">
        <v>0</v>
      </c>
      <c r="AS63" s="27">
        <v>0</v>
      </c>
      <c r="AT63" s="27">
        <v>0</v>
      </c>
      <c r="AU63" s="27">
        <v>0</v>
      </c>
      <c r="AV63" s="2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28">
        <v>0</v>
      </c>
      <c r="AS64" s="27">
        <v>0</v>
      </c>
      <c r="AT64" s="27">
        <v>0</v>
      </c>
      <c r="AU64" s="27">
        <v>0</v>
      </c>
      <c r="AV64" s="2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28">
        <v>0</v>
      </c>
      <c r="AS65" s="27">
        <v>0</v>
      </c>
      <c r="AT65" s="27">
        <v>0</v>
      </c>
      <c r="AU65" s="27">
        <v>0</v>
      </c>
      <c r="AV65" s="2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28">
        <v>0</v>
      </c>
      <c r="AS66" s="27">
        <v>0</v>
      </c>
      <c r="AT66" s="27">
        <v>0</v>
      </c>
      <c r="AU66" s="27">
        <v>0</v>
      </c>
      <c r="AV66" s="2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28">
        <v>0</v>
      </c>
      <c r="AS67" s="27">
        <v>0</v>
      </c>
      <c r="AT67" s="27">
        <v>0</v>
      </c>
      <c r="AU67" s="27">
        <v>0</v>
      </c>
      <c r="AV67" s="2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28">
        <v>0</v>
      </c>
      <c r="AS68" s="27">
        <v>0</v>
      </c>
      <c r="AT68" s="27">
        <v>0</v>
      </c>
      <c r="AU68" s="27">
        <v>0</v>
      </c>
      <c r="AV68" s="2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28">
        <v>0</v>
      </c>
      <c r="AS69" s="27">
        <v>0</v>
      </c>
      <c r="AT69" s="27">
        <v>0</v>
      </c>
      <c r="AU69" s="27">
        <v>0</v>
      </c>
      <c r="AV69" s="2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28">
        <v>0</v>
      </c>
      <c r="AS70" s="27">
        <v>0</v>
      </c>
      <c r="AT70" s="27">
        <v>0</v>
      </c>
      <c r="AU70" s="27">
        <v>0</v>
      </c>
      <c r="AV70" s="2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28">
        <v>0</v>
      </c>
      <c r="AS71" s="27">
        <v>0</v>
      </c>
      <c r="AT71" s="27">
        <v>0</v>
      </c>
      <c r="AU71" s="27">
        <v>0</v>
      </c>
      <c r="AV71" s="2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28">
        <v>0</v>
      </c>
      <c r="AS72" s="27">
        <v>0</v>
      </c>
      <c r="AT72" s="27">
        <v>0</v>
      </c>
      <c r="AU72" s="27">
        <v>0</v>
      </c>
      <c r="AV72" s="2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28">
        <v>0</v>
      </c>
      <c r="AS73" s="27">
        <v>0</v>
      </c>
      <c r="AT73" s="27">
        <v>0</v>
      </c>
      <c r="AU73" s="27">
        <v>0</v>
      </c>
      <c r="AV73" s="2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28">
        <v>0</v>
      </c>
      <c r="AS74" s="27">
        <v>0</v>
      </c>
      <c r="AT74" s="27">
        <v>0</v>
      </c>
      <c r="AU74" s="27">
        <v>0</v>
      </c>
      <c r="AV74" s="2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28">
        <v>0</v>
      </c>
      <c r="AS75" s="27">
        <v>0</v>
      </c>
      <c r="AT75" s="27">
        <v>0</v>
      </c>
      <c r="AU75" s="27">
        <v>0</v>
      </c>
      <c r="AV75" s="2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28">
        <v>0</v>
      </c>
      <c r="AS76" s="27">
        <v>0</v>
      </c>
      <c r="AT76" s="27">
        <v>0</v>
      </c>
      <c r="AU76" s="27">
        <v>0</v>
      </c>
      <c r="AV76" s="2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28">
        <v>0</v>
      </c>
      <c r="AS77" s="27">
        <v>0</v>
      </c>
      <c r="AT77" s="27">
        <v>0</v>
      </c>
      <c r="AU77" s="27">
        <v>0</v>
      </c>
      <c r="AV77" s="2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28">
        <v>0</v>
      </c>
      <c r="AS78" s="27">
        <v>0</v>
      </c>
      <c r="AT78" s="27">
        <v>0</v>
      </c>
      <c r="AU78" s="27">
        <v>0</v>
      </c>
      <c r="AV78" s="2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28">
        <v>0</v>
      </c>
      <c r="AS79" s="27">
        <v>0</v>
      </c>
      <c r="AT79" s="27">
        <v>0</v>
      </c>
      <c r="AU79" s="27">
        <v>0</v>
      </c>
      <c r="AV79" s="2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28">
        <v>0</v>
      </c>
      <c r="AS80" s="27">
        <v>0</v>
      </c>
      <c r="AT80" s="27">
        <v>0</v>
      </c>
      <c r="AU80" s="27">
        <v>0</v>
      </c>
      <c r="AV80" s="2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28">
        <v>0</v>
      </c>
      <c r="AS81" s="27">
        <v>0</v>
      </c>
      <c r="AT81" s="27">
        <v>0</v>
      </c>
      <c r="AU81" s="27">
        <v>0</v>
      </c>
      <c r="AV81" s="2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28">
        <v>0</v>
      </c>
      <c r="AS82" s="27">
        <v>0</v>
      </c>
      <c r="AT82" s="27">
        <v>0</v>
      </c>
      <c r="AU82" s="27">
        <v>0</v>
      </c>
      <c r="AV82" s="2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28">
        <v>0</v>
      </c>
      <c r="AS83" s="27">
        <v>0</v>
      </c>
      <c r="AT83" s="27">
        <v>0</v>
      </c>
      <c r="AU83" s="27">
        <v>0</v>
      </c>
      <c r="AV83" s="2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28">
        <v>0</v>
      </c>
      <c r="AS84" s="27">
        <v>0</v>
      </c>
      <c r="AT84" s="27">
        <v>0</v>
      </c>
      <c r="AU84" s="27">
        <v>0</v>
      </c>
      <c r="AV84" s="2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28">
        <v>0</v>
      </c>
      <c r="AS85" s="27">
        <v>0</v>
      </c>
      <c r="AT85" s="27">
        <v>0</v>
      </c>
      <c r="AU85" s="27">
        <v>0</v>
      </c>
      <c r="AV85" s="2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28">
        <v>0</v>
      </c>
      <c r="AS86" s="27">
        <v>0</v>
      </c>
      <c r="AT86" s="27">
        <v>0</v>
      </c>
      <c r="AU86" s="27">
        <v>0</v>
      </c>
      <c r="AV86" s="2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28">
        <v>0</v>
      </c>
      <c r="AS87" s="27">
        <v>0</v>
      </c>
      <c r="AT87" s="27">
        <v>0</v>
      </c>
      <c r="AU87" s="27">
        <v>0</v>
      </c>
      <c r="AV87" s="2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28">
        <v>0</v>
      </c>
      <c r="AS88" s="27">
        <v>0</v>
      </c>
      <c r="AT88" s="27">
        <v>0</v>
      </c>
      <c r="AU88" s="27">
        <v>0</v>
      </c>
      <c r="AV88" s="2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28">
        <v>0</v>
      </c>
      <c r="AS89" s="27">
        <v>0</v>
      </c>
      <c r="AT89" s="27">
        <v>0</v>
      </c>
      <c r="AU89" s="27">
        <v>0</v>
      </c>
      <c r="AV89" s="2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28">
        <v>0</v>
      </c>
      <c r="AS90" s="27">
        <v>0</v>
      </c>
      <c r="AT90" s="27">
        <v>0</v>
      </c>
      <c r="AU90" s="27">
        <v>0</v>
      </c>
      <c r="AV90" s="2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28">
        <v>0</v>
      </c>
      <c r="AS91" s="27">
        <v>0</v>
      </c>
      <c r="AT91" s="27">
        <v>0</v>
      </c>
      <c r="AU91" s="27">
        <v>0</v>
      </c>
      <c r="AV91" s="2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28">
        <v>0</v>
      </c>
      <c r="AS92" s="27">
        <v>0</v>
      </c>
      <c r="AT92" s="27">
        <v>0</v>
      </c>
      <c r="AU92" s="27">
        <v>0</v>
      </c>
      <c r="AV92" s="2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28">
        <v>0</v>
      </c>
      <c r="AS93" s="27">
        <v>0</v>
      </c>
      <c r="AT93" s="27">
        <v>0</v>
      </c>
      <c r="AU93" s="27">
        <v>0</v>
      </c>
      <c r="AV93" s="2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28">
        <v>0</v>
      </c>
      <c r="AS94" s="27">
        <v>0</v>
      </c>
      <c r="AT94" s="27">
        <v>0</v>
      </c>
      <c r="AU94" s="27">
        <v>0</v>
      </c>
      <c r="AV94" s="2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28">
        <v>0</v>
      </c>
      <c r="AS95" s="27">
        <v>0</v>
      </c>
      <c r="AT95" s="27">
        <v>0</v>
      </c>
      <c r="AU95" s="27">
        <v>0</v>
      </c>
      <c r="AV95" s="2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28">
        <v>0</v>
      </c>
      <c r="AS96" s="27">
        <v>0</v>
      </c>
      <c r="AT96" s="27">
        <v>0</v>
      </c>
      <c r="AU96" s="27">
        <v>0</v>
      </c>
      <c r="AV96" s="2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28">
        <v>0</v>
      </c>
      <c r="AS97" s="27">
        <v>0</v>
      </c>
      <c r="AT97" s="27">
        <v>0</v>
      </c>
      <c r="AU97" s="27">
        <v>0</v>
      </c>
      <c r="AV97" s="2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28">
        <v>0</v>
      </c>
      <c r="AS98" s="27">
        <v>0</v>
      </c>
      <c r="AT98" s="27">
        <v>0</v>
      </c>
      <c r="AU98" s="27">
        <v>0</v>
      </c>
      <c r="AV98" s="2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28">
        <v>0</v>
      </c>
      <c r="AS99" s="27">
        <v>0</v>
      </c>
      <c r="AT99" s="27">
        <v>0</v>
      </c>
      <c r="AU99" s="27">
        <v>0</v>
      </c>
      <c r="AV99" s="2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28">
        <v>0</v>
      </c>
      <c r="AS100" s="27">
        <v>0</v>
      </c>
      <c r="AT100" s="27">
        <v>0</v>
      </c>
      <c r="AU100" s="27">
        <v>0</v>
      </c>
      <c r="AV100" s="2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28">
        <v>0</v>
      </c>
      <c r="AS101" s="27">
        <v>0</v>
      </c>
      <c r="AT101" s="27">
        <v>0</v>
      </c>
      <c r="AU101" s="27">
        <v>0</v>
      </c>
      <c r="AV101" s="2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28">
        <v>0</v>
      </c>
      <c r="AS102" s="27">
        <v>0</v>
      </c>
      <c r="AT102" s="27">
        <v>0</v>
      </c>
      <c r="AU102" s="27">
        <v>0</v>
      </c>
      <c r="AV102" s="2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28">
        <v>0</v>
      </c>
      <c r="AS103" s="27">
        <v>0</v>
      </c>
      <c r="AT103" s="27">
        <v>0</v>
      </c>
      <c r="AU103" s="27">
        <v>0</v>
      </c>
      <c r="AV103" s="2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28">
        <v>0</v>
      </c>
      <c r="AS104" s="27">
        <v>0</v>
      </c>
      <c r="AT104" s="27">
        <v>0</v>
      </c>
      <c r="AU104" s="27">
        <v>0</v>
      </c>
      <c r="AV104" s="2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28">
        <v>0</v>
      </c>
      <c r="AS105" s="27">
        <v>0</v>
      </c>
      <c r="AT105" s="27">
        <v>0</v>
      </c>
      <c r="AU105" s="27">
        <v>0</v>
      </c>
      <c r="AV105" s="2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28">
        <v>0</v>
      </c>
      <c r="AS106" s="27">
        <v>0</v>
      </c>
      <c r="AT106" s="27">
        <v>0</v>
      </c>
      <c r="AU106" s="27">
        <v>0</v>
      </c>
      <c r="AV106" s="2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28">
        <v>0</v>
      </c>
      <c r="AS107" s="27">
        <v>0</v>
      </c>
      <c r="AT107" s="27">
        <v>0</v>
      </c>
      <c r="AU107" s="27">
        <v>0</v>
      </c>
      <c r="AV107" s="2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28">
        <v>0</v>
      </c>
      <c r="AS108" s="27">
        <v>0</v>
      </c>
      <c r="AT108" s="27">
        <v>0</v>
      </c>
      <c r="AU108" s="27">
        <v>0</v>
      </c>
      <c r="AV108" s="2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28">
        <v>0</v>
      </c>
      <c r="AS109" s="27">
        <v>0</v>
      </c>
      <c r="AT109" s="27">
        <v>0</v>
      </c>
      <c r="AU109" s="27">
        <v>0</v>
      </c>
      <c r="AV109" s="2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28">
        <v>0</v>
      </c>
      <c r="AS110" s="27">
        <v>0</v>
      </c>
      <c r="AT110" s="27">
        <v>0</v>
      </c>
      <c r="AU110" s="27">
        <v>0</v>
      </c>
      <c r="AV110" s="2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28">
        <v>0</v>
      </c>
      <c r="AS111" s="27">
        <v>0</v>
      </c>
      <c r="AT111" s="27">
        <v>0</v>
      </c>
      <c r="AU111" s="27">
        <v>0</v>
      </c>
      <c r="AV111" s="2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28">
        <v>0</v>
      </c>
      <c r="AS112" s="27">
        <v>0</v>
      </c>
      <c r="AT112" s="27">
        <v>0</v>
      </c>
      <c r="AU112" s="27">
        <v>0</v>
      </c>
      <c r="AV112" s="2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28">
        <v>0</v>
      </c>
      <c r="AS113" s="27">
        <v>0</v>
      </c>
      <c r="AT113" s="27">
        <v>0</v>
      </c>
      <c r="AU113" s="27">
        <v>0</v>
      </c>
      <c r="AV113" s="2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28">
        <v>0</v>
      </c>
      <c r="AS114" s="27">
        <v>0</v>
      </c>
      <c r="AT114" s="27">
        <v>0</v>
      </c>
      <c r="AU114" s="27">
        <v>0</v>
      </c>
      <c r="AV114" s="2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28">
        <v>0</v>
      </c>
      <c r="AS115" s="27">
        <v>0</v>
      </c>
      <c r="AT115" s="27">
        <v>0</v>
      </c>
      <c r="AU115" s="27">
        <v>0</v>
      </c>
      <c r="AV115" s="2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28">
        <v>0</v>
      </c>
      <c r="AS116" s="27">
        <v>0</v>
      </c>
      <c r="AT116" s="27">
        <v>0</v>
      </c>
      <c r="AU116" s="27">
        <v>0</v>
      </c>
      <c r="AV116" s="2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28">
        <v>0</v>
      </c>
      <c r="AS117" s="27">
        <v>0</v>
      </c>
      <c r="AT117" s="27">
        <v>0</v>
      </c>
      <c r="AU117" s="27">
        <v>0</v>
      </c>
      <c r="AV117" s="2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28">
        <v>0</v>
      </c>
      <c r="AS118" s="27">
        <v>0</v>
      </c>
      <c r="AT118" s="27">
        <v>0</v>
      </c>
      <c r="AU118" s="27">
        <v>0</v>
      </c>
      <c r="AV118" s="2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28">
        <v>0</v>
      </c>
      <c r="AS119" s="27">
        <v>0</v>
      </c>
      <c r="AT119" s="27">
        <v>0</v>
      </c>
      <c r="AU119" s="27">
        <v>0</v>
      </c>
      <c r="AV119" s="2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28">
        <v>0</v>
      </c>
      <c r="AS120" s="27">
        <v>0</v>
      </c>
      <c r="AT120" s="27">
        <v>0</v>
      </c>
      <c r="AU120" s="27">
        <v>0</v>
      </c>
      <c r="AV120" s="2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28">
        <v>0</v>
      </c>
      <c r="AS121" s="27">
        <v>0</v>
      </c>
      <c r="AT121" s="27">
        <v>0</v>
      </c>
      <c r="AU121" s="27">
        <v>0</v>
      </c>
      <c r="AV121" s="2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28">
        <v>0</v>
      </c>
      <c r="AS122" s="27">
        <v>0</v>
      </c>
      <c r="AT122" s="27">
        <v>0</v>
      </c>
      <c r="AU122" s="27">
        <v>0</v>
      </c>
      <c r="AV122" s="2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28">
        <v>0</v>
      </c>
      <c r="AS123" s="27">
        <v>0</v>
      </c>
      <c r="AT123" s="27">
        <v>0</v>
      </c>
      <c r="AU123" s="27">
        <v>0</v>
      </c>
      <c r="AV123" s="2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28">
        <v>0</v>
      </c>
      <c r="AS124" s="27">
        <v>0</v>
      </c>
      <c r="AT124" s="27">
        <v>0</v>
      </c>
      <c r="AU124" s="27">
        <v>0</v>
      </c>
      <c r="AV124" s="2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28">
        <v>0</v>
      </c>
      <c r="AS125" s="27">
        <v>0</v>
      </c>
      <c r="AT125" s="27">
        <v>0</v>
      </c>
      <c r="AU125" s="27">
        <v>0</v>
      </c>
      <c r="AV125" s="2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28">
        <v>0</v>
      </c>
      <c r="AS126" s="27">
        <v>0</v>
      </c>
      <c r="AT126" s="27">
        <v>0</v>
      </c>
      <c r="AU126" s="27">
        <v>0</v>
      </c>
      <c r="AV126" s="2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28">
        <v>0</v>
      </c>
      <c r="AS127" s="27">
        <v>0</v>
      </c>
      <c r="AT127" s="27">
        <v>0</v>
      </c>
      <c r="AU127" s="27">
        <v>0</v>
      </c>
      <c r="AV127" s="2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28">
        <v>0</v>
      </c>
      <c r="AS128" s="27">
        <v>0</v>
      </c>
      <c r="AT128" s="27">
        <v>0</v>
      </c>
      <c r="AU128" s="27">
        <v>0</v>
      </c>
      <c r="AV128" s="2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28">
        <v>0</v>
      </c>
      <c r="AS129" s="27">
        <v>0</v>
      </c>
      <c r="AT129" s="27">
        <v>0</v>
      </c>
      <c r="AU129" s="27">
        <v>0</v>
      </c>
      <c r="AV129" s="2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28">
        <v>0</v>
      </c>
      <c r="AS130" s="27">
        <v>0</v>
      </c>
      <c r="AT130" s="27">
        <v>0</v>
      </c>
      <c r="AU130" s="27">
        <v>0</v>
      </c>
      <c r="AV130" s="2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28">
        <v>0</v>
      </c>
      <c r="AS131" s="27">
        <v>0</v>
      </c>
      <c r="AT131" s="27">
        <v>0</v>
      </c>
      <c r="AU131" s="27">
        <v>0</v>
      </c>
      <c r="AV131" s="2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28">
        <v>0</v>
      </c>
      <c r="AS132" s="27">
        <v>0</v>
      </c>
      <c r="AT132" s="27">
        <v>0</v>
      </c>
      <c r="AU132" s="27">
        <v>0</v>
      </c>
      <c r="AV132" s="2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28">
        <v>0</v>
      </c>
      <c r="AS133" s="27">
        <v>0</v>
      </c>
      <c r="AT133" s="27">
        <v>0</v>
      </c>
      <c r="AU133" s="27">
        <v>0</v>
      </c>
      <c r="AV133" s="2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28">
        <v>0</v>
      </c>
      <c r="AS134" s="27">
        <v>0</v>
      </c>
      <c r="AT134" s="27">
        <v>0</v>
      </c>
      <c r="AU134" s="27">
        <v>0</v>
      </c>
      <c r="AV134" s="2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28">
        <v>0</v>
      </c>
      <c r="AS135" s="27">
        <v>0</v>
      </c>
      <c r="AT135" s="27">
        <v>0</v>
      </c>
      <c r="AU135" s="27">
        <v>0</v>
      </c>
      <c r="AV135" s="2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28">
        <v>0</v>
      </c>
      <c r="AS136" s="27">
        <v>0</v>
      </c>
      <c r="AT136" s="27">
        <v>0</v>
      </c>
      <c r="AU136" s="27">
        <v>0</v>
      </c>
      <c r="AV136" s="2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28">
        <v>0</v>
      </c>
      <c r="AS137" s="27">
        <v>0</v>
      </c>
      <c r="AT137" s="27">
        <v>0</v>
      </c>
      <c r="AU137" s="27">
        <v>0</v>
      </c>
      <c r="AV137" s="2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28">
        <v>0</v>
      </c>
      <c r="AS138" s="27">
        <v>0</v>
      </c>
      <c r="AT138" s="27">
        <v>0</v>
      </c>
      <c r="AU138" s="27">
        <v>0</v>
      </c>
      <c r="AV138" s="2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28">
        <v>0</v>
      </c>
      <c r="AS139" s="27">
        <v>0</v>
      </c>
      <c r="AT139" s="27">
        <v>0</v>
      </c>
      <c r="AU139" s="27">
        <v>0</v>
      </c>
      <c r="AV139" s="2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28">
        <v>0</v>
      </c>
      <c r="AS140" s="27">
        <v>0</v>
      </c>
      <c r="AT140" s="27">
        <v>0</v>
      </c>
      <c r="AU140" s="27">
        <v>0</v>
      </c>
      <c r="AV140" s="2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28">
        <v>0</v>
      </c>
      <c r="AS141" s="27">
        <v>0</v>
      </c>
      <c r="AT141" s="27">
        <v>0</v>
      </c>
      <c r="AU141" s="27">
        <v>0</v>
      </c>
      <c r="AV141" s="2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28">
        <v>0</v>
      </c>
      <c r="AS142" s="27">
        <v>0</v>
      </c>
      <c r="AT142" s="27">
        <v>0</v>
      </c>
      <c r="AU142" s="27">
        <v>0</v>
      </c>
      <c r="AV142" s="2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28">
        <v>0</v>
      </c>
      <c r="AS143" s="27">
        <v>0</v>
      </c>
      <c r="AT143" s="27">
        <v>0</v>
      </c>
      <c r="AU143" s="27">
        <v>0</v>
      </c>
      <c r="AV143" s="2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28">
        <v>0</v>
      </c>
      <c r="AS144" s="27">
        <v>0</v>
      </c>
      <c r="AT144" s="27">
        <v>0</v>
      </c>
      <c r="AU144" s="27">
        <v>0</v>
      </c>
      <c r="AV144" s="2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28">
        <v>0</v>
      </c>
      <c r="AS145" s="27">
        <v>0</v>
      </c>
      <c r="AT145" s="27">
        <v>0</v>
      </c>
      <c r="AU145" s="27">
        <v>0</v>
      </c>
      <c r="AV145" s="2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28">
        <v>0</v>
      </c>
      <c r="AS146" s="27">
        <v>0</v>
      </c>
      <c r="AT146" s="27">
        <v>0</v>
      </c>
      <c r="AU146" s="27">
        <v>0</v>
      </c>
      <c r="AV146" s="2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28">
        <v>0</v>
      </c>
      <c r="AS147" s="27">
        <v>0</v>
      </c>
      <c r="AT147" s="27">
        <v>0</v>
      </c>
      <c r="AU147" s="27">
        <v>0</v>
      </c>
      <c r="AV147" s="2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28">
        <v>0</v>
      </c>
      <c r="AS148" s="27">
        <v>0</v>
      </c>
      <c r="AT148" s="27">
        <v>0</v>
      </c>
      <c r="AU148" s="27">
        <v>0</v>
      </c>
      <c r="AV148" s="2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28">
        <v>0</v>
      </c>
      <c r="AS149" s="27">
        <v>0</v>
      </c>
      <c r="AT149" s="27">
        <v>0</v>
      </c>
      <c r="AU149" s="27">
        <v>0</v>
      </c>
      <c r="AV149" s="2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28">
        <v>0</v>
      </c>
      <c r="AS150" s="27">
        <v>0</v>
      </c>
      <c r="AT150" s="27">
        <v>0</v>
      </c>
      <c r="AU150" s="27">
        <v>0</v>
      </c>
      <c r="AV150" s="2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28">
        <v>0</v>
      </c>
      <c r="AS151" s="27">
        <v>0</v>
      </c>
      <c r="AT151" s="27">
        <v>0</v>
      </c>
      <c r="AU151" s="27">
        <v>0</v>
      </c>
      <c r="AV151" s="2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28">
        <v>0</v>
      </c>
      <c r="AS152" s="27">
        <v>0</v>
      </c>
      <c r="AT152" s="27">
        <v>0</v>
      </c>
      <c r="AU152" s="27">
        <v>0</v>
      </c>
      <c r="AV152" s="2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28">
        <v>0</v>
      </c>
      <c r="AS153" s="27">
        <v>0</v>
      </c>
      <c r="AT153" s="27">
        <v>0</v>
      </c>
      <c r="AU153" s="27">
        <v>0</v>
      </c>
      <c r="AV153" s="2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28">
        <v>0</v>
      </c>
      <c r="AS154" s="27">
        <v>0</v>
      </c>
      <c r="AT154" s="27">
        <v>0</v>
      </c>
      <c r="AU154" s="27">
        <v>0</v>
      </c>
      <c r="AV154" s="2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28">
        <v>0</v>
      </c>
      <c r="AS155" s="27">
        <v>0</v>
      </c>
      <c r="AT155" s="27">
        <v>0</v>
      </c>
      <c r="AU155" s="27">
        <v>0</v>
      </c>
      <c r="AV155" s="2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28">
        <v>0</v>
      </c>
      <c r="AS156" s="27">
        <v>0</v>
      </c>
      <c r="AT156" s="27">
        <v>0</v>
      </c>
      <c r="AU156" s="27">
        <v>0</v>
      </c>
      <c r="AV156" s="2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28">
        <v>0</v>
      </c>
      <c r="AS157" s="27">
        <v>0</v>
      </c>
      <c r="AT157" s="27">
        <v>0</v>
      </c>
      <c r="AU157" s="27">
        <v>0</v>
      </c>
      <c r="AV157" s="2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28">
        <v>0</v>
      </c>
      <c r="AS158" s="27">
        <v>0</v>
      </c>
      <c r="AT158" s="27">
        <v>0</v>
      </c>
      <c r="AU158" s="27">
        <v>0</v>
      </c>
      <c r="AV158" s="2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28">
        <v>0</v>
      </c>
      <c r="AS159" s="27">
        <v>0</v>
      </c>
      <c r="AT159" s="27">
        <v>0</v>
      </c>
      <c r="AU159" s="27">
        <v>0</v>
      </c>
      <c r="AV159" s="2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28">
        <v>0</v>
      </c>
      <c r="AS160" s="27">
        <v>0</v>
      </c>
      <c r="AT160" s="27">
        <v>0</v>
      </c>
      <c r="AU160" s="27">
        <v>0</v>
      </c>
      <c r="AV160" s="2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28">
        <v>0</v>
      </c>
      <c r="AS161" s="27">
        <v>0</v>
      </c>
      <c r="AT161" s="27">
        <v>0</v>
      </c>
      <c r="AU161" s="27">
        <v>0</v>
      </c>
      <c r="AV161" s="2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28">
        <v>0</v>
      </c>
      <c r="AS162" s="27">
        <v>0</v>
      </c>
      <c r="AT162" s="27">
        <v>0</v>
      </c>
      <c r="AU162" s="27">
        <v>0</v>
      </c>
      <c r="AV162" s="2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28">
        <v>0</v>
      </c>
      <c r="AS163" s="27">
        <v>0</v>
      </c>
      <c r="AT163" s="27">
        <v>0</v>
      </c>
      <c r="AU163" s="27">
        <v>0</v>
      </c>
      <c r="AV163" s="2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28">
        <v>0</v>
      </c>
      <c r="AS164" s="27">
        <v>0</v>
      </c>
      <c r="AT164" s="27">
        <v>0</v>
      </c>
      <c r="AU164" s="27">
        <v>0</v>
      </c>
      <c r="AV164" s="2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28">
        <v>0</v>
      </c>
      <c r="AS165" s="27">
        <v>0</v>
      </c>
      <c r="AT165" s="27">
        <v>0</v>
      </c>
      <c r="AU165" s="27">
        <v>0</v>
      </c>
      <c r="AV165" s="2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28">
        <v>0</v>
      </c>
      <c r="AS166" s="27">
        <v>0</v>
      </c>
      <c r="AT166" s="27">
        <v>0</v>
      </c>
      <c r="AU166" s="27">
        <v>0</v>
      </c>
      <c r="AV166" s="2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28">
        <v>0</v>
      </c>
      <c r="AS167" s="27">
        <v>0</v>
      </c>
      <c r="AT167" s="27">
        <v>0</v>
      </c>
      <c r="AU167" s="27">
        <v>0</v>
      </c>
      <c r="AV167" s="2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28">
        <v>0</v>
      </c>
      <c r="AS168" s="27">
        <v>0</v>
      </c>
      <c r="AT168" s="27">
        <v>0</v>
      </c>
      <c r="AU168" s="27">
        <v>0</v>
      </c>
      <c r="AV168" s="2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28">
        <v>0</v>
      </c>
      <c r="AS169" s="27">
        <v>0</v>
      </c>
      <c r="AT169" s="27">
        <v>0</v>
      </c>
      <c r="AU169" s="27">
        <v>0</v>
      </c>
      <c r="AV169" s="2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28">
        <v>0</v>
      </c>
      <c r="AS170" s="27">
        <v>0</v>
      </c>
      <c r="AT170" s="27">
        <v>0</v>
      </c>
      <c r="AU170" s="27">
        <v>0</v>
      </c>
      <c r="AV170" s="2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28">
        <v>0</v>
      </c>
      <c r="AS171" s="27">
        <v>0</v>
      </c>
      <c r="AT171" s="27">
        <v>0</v>
      </c>
      <c r="AU171" s="27">
        <v>0</v>
      </c>
      <c r="AV171" s="2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28">
        <v>0</v>
      </c>
      <c r="AS172" s="27">
        <v>0</v>
      </c>
      <c r="AT172" s="27">
        <v>0</v>
      </c>
      <c r="AU172" s="27">
        <v>0</v>
      </c>
      <c r="AV172" s="2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28">
        <v>0</v>
      </c>
      <c r="AS173" s="27">
        <v>0</v>
      </c>
      <c r="AT173" s="27">
        <v>0</v>
      </c>
      <c r="AU173" s="27">
        <v>0</v>
      </c>
      <c r="AV173" s="2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28">
        <v>0</v>
      </c>
      <c r="AS174" s="27">
        <v>0</v>
      </c>
      <c r="AT174" s="27">
        <v>0</v>
      </c>
      <c r="AU174" s="27">
        <v>0</v>
      </c>
      <c r="AV174" s="2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28">
        <v>0</v>
      </c>
      <c r="AS175" s="27">
        <v>0</v>
      </c>
      <c r="AT175" s="27">
        <v>0</v>
      </c>
      <c r="AU175" s="27">
        <v>0</v>
      </c>
      <c r="AV175" s="2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28">
        <v>0</v>
      </c>
      <c r="AS176" s="27">
        <v>0</v>
      </c>
      <c r="AT176" s="27">
        <v>0</v>
      </c>
      <c r="AU176" s="27">
        <v>0</v>
      </c>
      <c r="AV176" s="2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28">
        <v>0</v>
      </c>
      <c r="AS177" s="27">
        <v>0</v>
      </c>
      <c r="AT177" s="27">
        <v>0</v>
      </c>
      <c r="AU177" s="27">
        <v>0</v>
      </c>
      <c r="AV177" s="2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28">
        <v>0</v>
      </c>
      <c r="AS178" s="27">
        <v>0</v>
      </c>
      <c r="AT178" s="27">
        <v>0</v>
      </c>
      <c r="AU178" s="27">
        <v>0</v>
      </c>
      <c r="AV178" s="2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28">
        <v>0</v>
      </c>
      <c r="AS179" s="27">
        <v>0</v>
      </c>
      <c r="AT179" s="27">
        <v>0</v>
      </c>
      <c r="AU179" s="27">
        <v>0</v>
      </c>
      <c r="AV179" s="2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28">
        <v>0</v>
      </c>
      <c r="AS180" s="27">
        <v>0</v>
      </c>
      <c r="AT180" s="27">
        <v>0</v>
      </c>
      <c r="AU180" s="27">
        <v>0</v>
      </c>
      <c r="AV180" s="2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28">
        <v>0</v>
      </c>
      <c r="AS181" s="27">
        <v>0</v>
      </c>
      <c r="AT181" s="27">
        <v>0</v>
      </c>
      <c r="AU181" s="27">
        <v>0</v>
      </c>
      <c r="AV181" s="2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28">
        <v>0</v>
      </c>
      <c r="AS182" s="27">
        <v>0</v>
      </c>
      <c r="AT182" s="27">
        <v>0</v>
      </c>
      <c r="AU182" s="27">
        <v>0</v>
      </c>
      <c r="AV182" s="2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28">
        <v>0</v>
      </c>
      <c r="AS183" s="27">
        <v>0</v>
      </c>
      <c r="AT183" s="27">
        <v>0</v>
      </c>
      <c r="AU183" s="27">
        <v>0</v>
      </c>
      <c r="AV183" s="2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28">
        <v>0</v>
      </c>
      <c r="AS184" s="27">
        <v>0</v>
      </c>
      <c r="AT184" s="27">
        <v>0</v>
      </c>
      <c r="AU184" s="27">
        <v>0</v>
      </c>
      <c r="AV184" s="2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28">
        <v>0</v>
      </c>
      <c r="AS185" s="27">
        <v>0</v>
      </c>
      <c r="AT185" s="27">
        <v>0</v>
      </c>
      <c r="AU185" s="27">
        <v>0</v>
      </c>
      <c r="AV185" s="2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28">
        <v>0</v>
      </c>
      <c r="AS186" s="27">
        <v>0</v>
      </c>
      <c r="AT186" s="27">
        <v>0</v>
      </c>
      <c r="AU186" s="27">
        <v>0</v>
      </c>
      <c r="AV186" s="2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28">
        <v>0</v>
      </c>
      <c r="AS187" s="27">
        <v>0</v>
      </c>
      <c r="AT187" s="27">
        <v>0</v>
      </c>
      <c r="AU187" s="27">
        <v>0</v>
      </c>
      <c r="AV187" s="2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28">
        <v>0</v>
      </c>
      <c r="AS188" s="27">
        <v>0</v>
      </c>
      <c r="AT188" s="27">
        <v>0</v>
      </c>
      <c r="AU188" s="27">
        <v>0</v>
      </c>
      <c r="AV188" s="2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28">
        <v>0</v>
      </c>
      <c r="AS189" s="27">
        <v>0</v>
      </c>
      <c r="AT189" s="27">
        <v>0</v>
      </c>
      <c r="AU189" s="27">
        <v>0</v>
      </c>
      <c r="AV189" s="2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28">
        <v>0</v>
      </c>
      <c r="AS190" s="27">
        <v>0</v>
      </c>
      <c r="AT190" s="27">
        <v>0</v>
      </c>
      <c r="AU190" s="27">
        <v>0</v>
      </c>
      <c r="AV190" s="2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28">
        <v>0</v>
      </c>
      <c r="AS191" s="27">
        <v>0</v>
      </c>
      <c r="AT191" s="27">
        <v>0</v>
      </c>
      <c r="AU191" s="27">
        <v>0</v>
      </c>
      <c r="AV191" s="2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28" t="s">
        <v>1021</v>
      </c>
      <c r="AS192" s="27">
        <v>0</v>
      </c>
      <c r="AT192" s="27">
        <v>0</v>
      </c>
      <c r="AU192" s="27">
        <v>0</v>
      </c>
      <c r="AV192" s="2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28">
        <v>0</v>
      </c>
      <c r="AS193" s="27">
        <v>0</v>
      </c>
      <c r="AT193" s="27">
        <v>0</v>
      </c>
      <c r="AU193" s="27">
        <v>0</v>
      </c>
      <c r="AV193" s="2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28">
        <v>0</v>
      </c>
      <c r="AS194" s="27">
        <v>0</v>
      </c>
      <c r="AT194" s="27">
        <v>0</v>
      </c>
      <c r="AU194" s="27">
        <v>0</v>
      </c>
      <c r="AV194" s="2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28">
        <v>0</v>
      </c>
      <c r="AS195" s="27">
        <v>0</v>
      </c>
      <c r="AT195" s="27">
        <v>0</v>
      </c>
      <c r="AU195" s="27">
        <v>0</v>
      </c>
      <c r="AV195" s="2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28">
        <v>0</v>
      </c>
      <c r="AS196" s="27">
        <v>0</v>
      </c>
      <c r="AT196" s="27">
        <v>0</v>
      </c>
      <c r="AU196" s="27">
        <v>0</v>
      </c>
      <c r="AV196" s="2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28">
        <v>0</v>
      </c>
      <c r="AS197" s="27">
        <v>0</v>
      </c>
      <c r="AT197" s="27">
        <v>0</v>
      </c>
      <c r="AU197" s="27">
        <v>0</v>
      </c>
      <c r="AV197" s="2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28">
        <v>0</v>
      </c>
      <c r="AS198" s="27">
        <v>0</v>
      </c>
      <c r="AT198" s="27">
        <v>0</v>
      </c>
      <c r="AU198" s="27">
        <v>0</v>
      </c>
      <c r="AV198" s="2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28">
        <v>0</v>
      </c>
      <c r="AS199" s="27">
        <v>0</v>
      </c>
      <c r="AT199" s="27">
        <v>0</v>
      </c>
      <c r="AU199" s="27">
        <v>0</v>
      </c>
      <c r="AV199" s="2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28">
        <v>0</v>
      </c>
      <c r="AS200" s="27">
        <v>0</v>
      </c>
      <c r="AT200" s="27">
        <v>0</v>
      </c>
      <c r="AU200" s="27">
        <v>0</v>
      </c>
      <c r="AV200" s="2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28">
        <v>0</v>
      </c>
      <c r="AS201" s="27">
        <v>0</v>
      </c>
      <c r="AT201" s="27">
        <v>0</v>
      </c>
      <c r="AU201" s="27">
        <v>0</v>
      </c>
      <c r="AV201" s="2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28">
        <v>0</v>
      </c>
      <c r="AS202" s="27">
        <v>0</v>
      </c>
      <c r="AT202" s="27">
        <v>0</v>
      </c>
      <c r="AU202" s="27">
        <v>0</v>
      </c>
      <c r="AV202" s="2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28" t="s">
        <v>1095</v>
      </c>
      <c r="AS203" s="27">
        <v>0</v>
      </c>
      <c r="AT203" s="27">
        <v>0</v>
      </c>
      <c r="AU203" s="27">
        <v>0</v>
      </c>
      <c r="AV203" s="2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28">
        <v>0</v>
      </c>
      <c r="AS204" s="27">
        <v>0</v>
      </c>
      <c r="AT204" s="27">
        <v>0</v>
      </c>
      <c r="AU204" s="27">
        <v>0</v>
      </c>
      <c r="AV204" s="2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28">
        <v>0</v>
      </c>
      <c r="AS205" s="27">
        <v>0</v>
      </c>
      <c r="AT205" s="27">
        <v>0</v>
      </c>
      <c r="AU205" s="27">
        <v>0</v>
      </c>
      <c r="AV205" s="2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28">
        <v>0</v>
      </c>
      <c r="AS206" s="27">
        <v>0</v>
      </c>
      <c r="AT206" s="27">
        <v>0</v>
      </c>
      <c r="AU206" s="27">
        <v>0</v>
      </c>
      <c r="AV206" s="2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28">
        <v>0</v>
      </c>
      <c r="AS207" s="27">
        <v>0</v>
      </c>
      <c r="AT207" s="27">
        <v>0</v>
      </c>
      <c r="AU207" s="27">
        <v>0</v>
      </c>
      <c r="AV207" s="2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28">
        <v>0</v>
      </c>
      <c r="AS208" s="27">
        <v>0</v>
      </c>
      <c r="AT208" s="27">
        <v>0</v>
      </c>
      <c r="AU208" s="27">
        <v>0</v>
      </c>
      <c r="AV208" s="2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28">
        <v>0</v>
      </c>
      <c r="AS209" s="27">
        <v>0</v>
      </c>
      <c r="AT209" s="27">
        <v>0</v>
      </c>
      <c r="AU209" s="27">
        <v>0</v>
      </c>
      <c r="AV209" s="2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28">
        <v>0</v>
      </c>
      <c r="AS210" s="27">
        <v>0</v>
      </c>
      <c r="AT210" s="27">
        <v>0</v>
      </c>
      <c r="AU210" s="27">
        <v>0</v>
      </c>
      <c r="AV210" s="2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28">
        <v>0</v>
      </c>
      <c r="AS211" s="27">
        <v>0</v>
      </c>
      <c r="AT211" s="27">
        <v>0</v>
      </c>
      <c r="AU211" s="27">
        <v>0</v>
      </c>
      <c r="AV211" s="2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28">
        <v>0</v>
      </c>
      <c r="AS212" s="27">
        <v>0</v>
      </c>
      <c r="AT212" s="27">
        <v>0</v>
      </c>
      <c r="AU212" s="27">
        <v>0</v>
      </c>
      <c r="AV212" s="2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28">
        <v>0</v>
      </c>
      <c r="AS213" s="27">
        <v>0</v>
      </c>
      <c r="AT213" s="27">
        <v>0</v>
      </c>
      <c r="AU213" s="27">
        <v>0</v>
      </c>
      <c r="AV213" s="2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28">
        <v>0</v>
      </c>
      <c r="AS214" s="27">
        <v>0</v>
      </c>
      <c r="AT214" s="27">
        <v>0</v>
      </c>
      <c r="AU214" s="27">
        <v>0</v>
      </c>
      <c r="AV214" s="2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28">
        <v>0</v>
      </c>
      <c r="AS215" s="27">
        <v>0</v>
      </c>
      <c r="AT215" s="27">
        <v>0</v>
      </c>
      <c r="AU215" s="27">
        <v>0</v>
      </c>
      <c r="AV215" s="2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28">
        <v>0</v>
      </c>
      <c r="AS216" s="27">
        <v>0</v>
      </c>
      <c r="AT216" s="27">
        <v>0</v>
      </c>
      <c r="AU216" s="27">
        <v>0</v>
      </c>
      <c r="AV216" s="2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28">
        <v>0</v>
      </c>
      <c r="AS217" s="27">
        <v>0</v>
      </c>
      <c r="AT217" s="27">
        <v>0</v>
      </c>
      <c r="AU217" s="27">
        <v>0</v>
      </c>
      <c r="AV217" s="2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28">
        <v>0</v>
      </c>
      <c r="AS218" s="27">
        <v>0</v>
      </c>
      <c r="AT218" s="27">
        <v>0</v>
      </c>
      <c r="AU218" s="27">
        <v>0</v>
      </c>
      <c r="AV218" s="2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28">
        <v>0</v>
      </c>
      <c r="AS219" s="27">
        <v>0</v>
      </c>
      <c r="AT219" s="27">
        <v>0</v>
      </c>
      <c r="AU219" s="27">
        <v>0</v>
      </c>
      <c r="AV219" s="2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28">
        <v>0</v>
      </c>
      <c r="AS220" s="27">
        <v>0</v>
      </c>
      <c r="AT220" s="27">
        <v>0</v>
      </c>
      <c r="AU220" s="27">
        <v>0</v>
      </c>
      <c r="AV220" s="2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28">
        <v>0</v>
      </c>
      <c r="AS221" s="27">
        <v>0</v>
      </c>
      <c r="AT221" s="27">
        <v>0</v>
      </c>
      <c r="AU221" s="27">
        <v>0</v>
      </c>
      <c r="AV221" s="2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28">
        <v>0</v>
      </c>
      <c r="AS222" s="27">
        <v>0</v>
      </c>
      <c r="AT222" s="27">
        <v>0</v>
      </c>
      <c r="AU222" s="27">
        <v>0</v>
      </c>
      <c r="AV222" s="2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28">
        <v>0</v>
      </c>
      <c r="AS223" s="27">
        <v>0</v>
      </c>
      <c r="AT223" s="27">
        <v>0</v>
      </c>
      <c r="AU223" s="27">
        <v>0</v>
      </c>
      <c r="AV223" s="2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28">
        <v>0</v>
      </c>
      <c r="AS224" s="27">
        <v>0</v>
      </c>
      <c r="AT224" s="27">
        <v>0</v>
      </c>
      <c r="AU224" s="27">
        <v>0</v>
      </c>
      <c r="AV224" s="2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28">
        <v>0</v>
      </c>
      <c r="AS225" s="27">
        <v>0</v>
      </c>
      <c r="AT225" s="27">
        <v>0</v>
      </c>
      <c r="AU225" s="27">
        <v>0</v>
      </c>
      <c r="AV225" s="2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28">
        <v>0</v>
      </c>
      <c r="AS226" s="27">
        <v>0</v>
      </c>
      <c r="AT226" s="27">
        <v>0</v>
      </c>
      <c r="AU226" s="27">
        <v>0</v>
      </c>
      <c r="AV226" s="2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28">
        <v>0</v>
      </c>
      <c r="AS227" s="27">
        <v>0</v>
      </c>
      <c r="AT227" s="27">
        <v>0</v>
      </c>
      <c r="AU227" s="27">
        <v>0</v>
      </c>
      <c r="AV227" s="2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28">
        <v>0</v>
      </c>
      <c r="AS228" s="27">
        <v>0</v>
      </c>
      <c r="AT228" s="27">
        <v>0</v>
      </c>
      <c r="AU228" s="27">
        <v>0</v>
      </c>
      <c r="AV228" s="2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28">
        <v>0</v>
      </c>
      <c r="AS229" s="27">
        <v>0</v>
      </c>
      <c r="AT229" s="27">
        <v>0</v>
      </c>
      <c r="AU229" s="27">
        <v>0</v>
      </c>
      <c r="AV229" s="2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28">
        <v>0</v>
      </c>
      <c r="AS230" s="27">
        <v>0</v>
      </c>
      <c r="AT230" s="27">
        <v>0</v>
      </c>
      <c r="AU230" s="27">
        <v>0</v>
      </c>
      <c r="AV230" s="2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28">
        <v>0</v>
      </c>
      <c r="AS231" s="27">
        <v>0</v>
      </c>
      <c r="AT231" s="27">
        <v>0</v>
      </c>
      <c r="AU231" s="27">
        <v>0</v>
      </c>
      <c r="AV231" s="2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28">
        <v>0</v>
      </c>
      <c r="AS232" s="27">
        <v>0</v>
      </c>
      <c r="AT232" s="27">
        <v>0</v>
      </c>
      <c r="AU232" s="27">
        <v>0</v>
      </c>
      <c r="AV232" s="2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28">
        <v>0</v>
      </c>
      <c r="AS233" s="27">
        <v>0</v>
      </c>
      <c r="AT233" s="27">
        <v>0</v>
      </c>
      <c r="AU233" s="27">
        <v>0</v>
      </c>
      <c r="AV233" s="2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28" t="s">
        <v>1238</v>
      </c>
      <c r="AS234" s="27">
        <v>0</v>
      </c>
      <c r="AT234" s="27">
        <v>0</v>
      </c>
      <c r="AU234" s="27">
        <v>0</v>
      </c>
      <c r="AV234" s="2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28" t="s">
        <v>1242</v>
      </c>
      <c r="AS235" s="27">
        <v>0</v>
      </c>
      <c r="AT235" s="27">
        <v>0</v>
      </c>
      <c r="AU235" s="27">
        <v>0</v>
      </c>
      <c r="AV235" s="2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28">
        <v>0</v>
      </c>
      <c r="AS236" s="27">
        <v>0</v>
      </c>
      <c r="AT236" s="27">
        <v>0</v>
      </c>
      <c r="AU236" s="27">
        <v>0</v>
      </c>
      <c r="AV236" s="2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28">
        <v>0</v>
      </c>
      <c r="AS237" s="27">
        <v>0</v>
      </c>
      <c r="AT237" s="27">
        <v>0</v>
      </c>
      <c r="AU237" s="27">
        <v>0</v>
      </c>
      <c r="AV237" s="2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28">
        <v>0</v>
      </c>
      <c r="AS238" s="27">
        <v>0</v>
      </c>
      <c r="AT238" s="27">
        <v>0</v>
      </c>
      <c r="AU238" s="27">
        <v>0</v>
      </c>
      <c r="AV238" s="2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28" t="s">
        <v>1259</v>
      </c>
      <c r="AS239" s="27">
        <v>0</v>
      </c>
      <c r="AT239" s="27">
        <v>0</v>
      </c>
      <c r="AU239" s="27">
        <v>0</v>
      </c>
      <c r="AV239" s="2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28" t="s">
        <v>1264</v>
      </c>
      <c r="AS240" s="27">
        <v>0</v>
      </c>
      <c r="AT240" s="27">
        <v>0</v>
      </c>
      <c r="AU240" s="27">
        <v>0</v>
      </c>
      <c r="AV240" s="2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28" t="s">
        <v>1270</v>
      </c>
      <c r="AS241" s="27">
        <v>0</v>
      </c>
      <c r="AT241" s="27">
        <v>0</v>
      </c>
      <c r="AU241" s="27">
        <v>0</v>
      </c>
      <c r="AV241" s="2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27">
        <v>0</v>
      </c>
      <c r="AS242" s="27">
        <v>0</v>
      </c>
      <c r="AT242" s="27">
        <v>0</v>
      </c>
      <c r="AU242" s="27">
        <v>0</v>
      </c>
      <c r="AV242" s="2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28" t="s">
        <v>1279</v>
      </c>
      <c r="AS243" s="27" t="s">
        <v>1278</v>
      </c>
      <c r="AT243" s="27">
        <v>0</v>
      </c>
      <c r="AU243" s="27">
        <f>20+10+3+5+10</f>
        <v>48</v>
      </c>
      <c r="AV243" s="2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28" t="s">
        <v>1283</v>
      </c>
      <c r="AS244" s="27">
        <v>0</v>
      </c>
      <c r="AT244" s="27">
        <v>0</v>
      </c>
      <c r="AU244" s="27">
        <v>0</v>
      </c>
      <c r="AV244" s="2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27">
        <v>0</v>
      </c>
      <c r="AS245" s="27">
        <v>0</v>
      </c>
      <c r="AT245" s="27">
        <v>0</v>
      </c>
      <c r="AU245" s="27">
        <v>0</v>
      </c>
      <c r="AV245" s="2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27">
        <v>0</v>
      </c>
      <c r="AS246" s="27">
        <v>0</v>
      </c>
      <c r="AT246" s="27">
        <v>0</v>
      </c>
      <c r="AU246" s="27">
        <v>0</v>
      </c>
      <c r="AV246" s="2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7" t="s">
        <v>1294</v>
      </c>
      <c r="AS247" s="27" t="s">
        <v>1293</v>
      </c>
      <c r="AT247" s="27">
        <v>0</v>
      </c>
      <c r="AU247" s="27">
        <f>10-10</f>
        <v>0</v>
      </c>
      <c r="AV247" s="2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28" t="s">
        <v>1299</v>
      </c>
      <c r="AS248" s="27">
        <v>0</v>
      </c>
      <c r="AT248" s="27">
        <v>0</v>
      </c>
      <c r="AU248" s="27">
        <v>0</v>
      </c>
      <c r="AV248" s="2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28">
        <v>0</v>
      </c>
      <c r="AS249" s="27">
        <v>0</v>
      </c>
      <c r="AT249" s="27">
        <v>0</v>
      </c>
      <c r="AU249" s="27">
        <v>0</v>
      </c>
      <c r="AV249" s="2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28" t="s">
        <v>1308</v>
      </c>
      <c r="AS250" s="28">
        <f>10+10</f>
        <v>20</v>
      </c>
      <c r="AT250" s="27">
        <v>0</v>
      </c>
      <c r="AU250" s="27">
        <v>0</v>
      </c>
      <c r="AV250" s="2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28" t="s">
        <v>1313</v>
      </c>
      <c r="AS251" s="28">
        <f>15+10-9</f>
        <v>16</v>
      </c>
      <c r="AT251" s="27">
        <v>0</v>
      </c>
      <c r="AU251" s="27">
        <v>0</v>
      </c>
      <c r="AV251" s="2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27">
        <v>0</v>
      </c>
      <c r="AS252" s="27">
        <v>0</v>
      </c>
      <c r="AT252" s="27">
        <v>0</v>
      </c>
      <c r="AU252" s="27">
        <v>0</v>
      </c>
      <c r="AV252" s="2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27">
        <v>0</v>
      </c>
      <c r="AS253" s="27">
        <v>0</v>
      </c>
      <c r="AT253" s="27">
        <v>0</v>
      </c>
      <c r="AU253" s="27">
        <v>0</v>
      </c>
      <c r="AV253" s="2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27">
        <v>0</v>
      </c>
      <c r="AS254" s="27">
        <v>0</v>
      </c>
      <c r="AT254" s="27">
        <v>0</v>
      </c>
      <c r="AU254" s="27">
        <v>0</v>
      </c>
      <c r="AV254" s="2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27">
        <v>0</v>
      </c>
      <c r="AS255" s="27">
        <v>0</v>
      </c>
      <c r="AT255" s="27">
        <v>0</v>
      </c>
      <c r="AU255" s="27">
        <v>0</v>
      </c>
      <c r="AV255" s="2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27">
        <v>0</v>
      </c>
      <c r="AS256" s="27">
        <v>0</v>
      </c>
      <c r="AT256" s="27">
        <v>0</v>
      </c>
      <c r="AU256" s="27">
        <v>0</v>
      </c>
      <c r="AV256" s="2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27">
        <v>0</v>
      </c>
      <c r="AS257" s="27">
        <v>0</v>
      </c>
      <c r="AT257" s="27">
        <v>0</v>
      </c>
      <c r="AU257" s="27">
        <v>0</v>
      </c>
      <c r="AV257" s="2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27">
        <v>0</v>
      </c>
      <c r="AS258" s="27">
        <v>0</v>
      </c>
      <c r="AT258" s="27">
        <v>0</v>
      </c>
      <c r="AU258" s="27">
        <v>0</v>
      </c>
      <c r="AV258" s="2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27">
        <v>0</v>
      </c>
      <c r="AS259" s="27">
        <v>0</v>
      </c>
      <c r="AT259" s="27">
        <v>0</v>
      </c>
      <c r="AU259" s="27">
        <v>0</v>
      </c>
      <c r="AV259" s="2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27">
        <v>0</v>
      </c>
      <c r="AS260" s="27">
        <v>0</v>
      </c>
      <c r="AT260" s="27">
        <v>0</v>
      </c>
      <c r="AU260" s="27">
        <v>0</v>
      </c>
      <c r="AV260" s="2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7" t="s">
        <v>1360</v>
      </c>
      <c r="AS261" s="27">
        <v>0</v>
      </c>
      <c r="AT261" s="27">
        <v>0</v>
      </c>
      <c r="AU261" s="27">
        <v>0</v>
      </c>
      <c r="AV261" s="2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27">
        <v>0</v>
      </c>
      <c r="AS262" s="27">
        <v>0</v>
      </c>
      <c r="AT262" s="27">
        <v>0</v>
      </c>
      <c r="AU262" s="27">
        <v>0</v>
      </c>
      <c r="AV262" s="2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27">
        <v>0</v>
      </c>
      <c r="AS263" s="27">
        <v>0</v>
      </c>
      <c r="AT263" s="27">
        <v>0</v>
      </c>
      <c r="AU263" s="27">
        <v>0</v>
      </c>
      <c r="AV263" s="2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28" t="s">
        <v>1369</v>
      </c>
      <c r="AS264" s="27">
        <v>0</v>
      </c>
      <c r="AT264" s="27">
        <v>-3</v>
      </c>
      <c r="AU264" s="27">
        <v>0</v>
      </c>
      <c r="AV264" s="2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7" t="s">
        <v>1379</v>
      </c>
      <c r="AS265" s="27">
        <v>0</v>
      </c>
      <c r="AT265" s="27">
        <v>0</v>
      </c>
      <c r="AU265" s="27">
        <v>0</v>
      </c>
      <c r="AV265" s="2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27">
        <v>0</v>
      </c>
      <c r="AS266" s="27">
        <v>0</v>
      </c>
      <c r="AT266" s="27">
        <v>0</v>
      </c>
      <c r="AU266" s="27">
        <v>0</v>
      </c>
      <c r="AV266" s="2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27">
        <v>0</v>
      </c>
      <c r="AS267" s="27">
        <v>0</v>
      </c>
      <c r="AT267" s="27">
        <v>0</v>
      </c>
      <c r="AU267" s="27">
        <v>0</v>
      </c>
      <c r="AV267" s="2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28" t="s">
        <v>1380</v>
      </c>
      <c r="AS268" s="27">
        <v>0</v>
      </c>
      <c r="AT268" s="27">
        <v>-10</v>
      </c>
      <c r="AU268" s="27">
        <v>0</v>
      </c>
      <c r="AV268" s="2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27">
        <v>0</v>
      </c>
      <c r="AS269" s="27">
        <v>0</v>
      </c>
      <c r="AT269" s="27">
        <v>0</v>
      </c>
      <c r="AU269" s="27">
        <v>0</v>
      </c>
      <c r="AV269" s="2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27">
        <v>0</v>
      </c>
      <c r="AS270" s="27">
        <v>0</v>
      </c>
      <c r="AT270" s="27">
        <v>0</v>
      </c>
      <c r="AU270" s="27">
        <v>0</v>
      </c>
      <c r="AV270" s="2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28" t="s">
        <v>1392</v>
      </c>
      <c r="AS271" s="27">
        <v>0</v>
      </c>
      <c r="AT271" s="27">
        <v>0</v>
      </c>
      <c r="AU271" s="27">
        <v>0</v>
      </c>
      <c r="AV271" s="2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27">
        <v>0</v>
      </c>
      <c r="AS272" s="27">
        <v>0</v>
      </c>
      <c r="AT272" s="27">
        <v>0</v>
      </c>
      <c r="AU272" s="27">
        <v>0</v>
      </c>
      <c r="AV272" s="2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27">
        <v>0</v>
      </c>
      <c r="AS273" s="27">
        <v>0</v>
      </c>
      <c r="AT273" s="27">
        <v>0</v>
      </c>
      <c r="AU273" s="27">
        <v>0</v>
      </c>
      <c r="AV273" s="2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27">
        <v>0</v>
      </c>
      <c r="AS274" s="27">
        <v>0</v>
      </c>
      <c r="AT274" s="27">
        <v>0</v>
      </c>
      <c r="AU274" s="27">
        <v>0</v>
      </c>
      <c r="AV274" s="2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27">
        <v>0</v>
      </c>
      <c r="AS275" s="27">
        <v>0</v>
      </c>
      <c r="AT275" s="27">
        <v>0</v>
      </c>
      <c r="AU275" s="27">
        <v>0</v>
      </c>
      <c r="AV275" s="2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27">
        <v>0</v>
      </c>
      <c r="AS276" s="27">
        <v>0</v>
      </c>
      <c r="AT276" s="27">
        <v>0</v>
      </c>
      <c r="AU276" s="27">
        <v>0</v>
      </c>
      <c r="AV276" s="2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27">
        <v>0</v>
      </c>
      <c r="AS277" s="27">
        <v>0</v>
      </c>
      <c r="AT277" s="27">
        <v>0</v>
      </c>
      <c r="AU277" s="27">
        <v>0</v>
      </c>
      <c r="AV277" s="2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27">
        <v>0</v>
      </c>
      <c r="AS278" s="27">
        <v>0</v>
      </c>
      <c r="AT278" s="27">
        <v>0</v>
      </c>
      <c r="AU278" s="27">
        <v>0</v>
      </c>
      <c r="AV278" s="2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296" si="519">$AC279/$AB279</f>
        <v>0.12925619834710744</v>
      </c>
      <c r="AJ279" s="6">
        <f t="shared" ref="AJ279:AJ296" si="520">$AD279/$AB279</f>
        <v>9.5537190082644621E-2</v>
      </c>
      <c r="AK279" s="6">
        <f t="shared" ref="AK279:AK296" si="521">$AE279/$AB279</f>
        <v>0.10446280991735538</v>
      </c>
      <c r="AL279" s="6">
        <f t="shared" ref="AL279:AL296" si="522">$AF279/$AB279</f>
        <v>0.16925619834710745</v>
      </c>
      <c r="AM279" s="6">
        <f t="shared" ref="AM279:AM296" si="523">$AG279/$AB279</f>
        <v>8.2644628099173556E-2</v>
      </c>
      <c r="AN279" s="6">
        <f t="shared" ref="AN279:AN296" si="524">$AH279/$AB279</f>
        <v>1.3619834710743801</v>
      </c>
      <c r="AO279" s="7">
        <v>7</v>
      </c>
      <c r="AP279" s="7">
        <v>3</v>
      </c>
      <c r="AQ279" s="7">
        <v>0</v>
      </c>
      <c r="AR279" s="27">
        <v>0</v>
      </c>
      <c r="AS279" s="27">
        <v>0</v>
      </c>
      <c r="AT279" s="27">
        <v>0</v>
      </c>
      <c r="AU279" s="27">
        <v>0</v>
      </c>
      <c r="AV279" s="2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27">
        <v>0</v>
      </c>
      <c r="AS280" s="27">
        <v>0</v>
      </c>
      <c r="AT280" s="27">
        <v>0</v>
      </c>
      <c r="AU280" s="27">
        <v>0</v>
      </c>
      <c r="AV280" s="2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9"/>
      <c r="K281" s="29"/>
      <c r="L281" s="30"/>
      <c r="M281" s="31"/>
      <c r="N281" s="30"/>
      <c r="O281" s="30"/>
      <c r="P281" s="30"/>
      <c r="Q281" s="30"/>
      <c r="R281" s="30"/>
      <c r="S281" s="30"/>
      <c r="T281" s="30"/>
      <c r="U281" s="30"/>
      <c r="V281" s="30"/>
      <c r="W281" s="30"/>
      <c r="X281" s="30"/>
      <c r="Y281" s="30"/>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27">
        <v>0</v>
      </c>
      <c r="AS281" s="27">
        <v>0</v>
      </c>
      <c r="AT281" s="27">
        <v>0</v>
      </c>
      <c r="AU281" s="27">
        <v>0</v>
      </c>
      <c r="AV281" s="2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0" customFormat="1" ht="40.049999999999997" customHeight="1" x14ac:dyDescent="0.3">
      <c r="A282" s="20" t="s">
        <v>137</v>
      </c>
      <c r="B282" s="20">
        <v>1</v>
      </c>
      <c r="C282" s="21">
        <v>44491</v>
      </c>
      <c r="D282" s="22">
        <v>0.20833333333333334</v>
      </c>
      <c r="E282" s="23">
        <v>51</v>
      </c>
      <c r="F282" s="20">
        <v>0</v>
      </c>
      <c r="G282" s="20">
        <v>0</v>
      </c>
      <c r="H282" s="20">
        <v>0</v>
      </c>
      <c r="I282" s="20">
        <v>0</v>
      </c>
      <c r="J282" s="22">
        <v>0.49374999999999997</v>
      </c>
      <c r="K282" s="20">
        <v>143.19999999999999</v>
      </c>
      <c r="L282" s="11">
        <f t="shared" si="517"/>
        <v>143.19999999999999</v>
      </c>
      <c r="M282" s="5">
        <f t="shared" si="518"/>
        <v>3038</v>
      </c>
      <c r="N282" s="24">
        <v>30.875</v>
      </c>
      <c r="O282" s="24">
        <v>31.875</v>
      </c>
      <c r="P282" s="24">
        <v>10.75</v>
      </c>
      <c r="Q282" s="24">
        <v>10.625</v>
      </c>
      <c r="R282" s="24">
        <v>19.75</v>
      </c>
      <c r="S282" s="24">
        <v>20.375</v>
      </c>
      <c r="T282" s="32"/>
      <c r="U282" s="32"/>
      <c r="V282" s="32"/>
      <c r="W282" s="32"/>
      <c r="X282" s="32"/>
      <c r="Y282" s="32"/>
      <c r="Z282" s="20" t="s">
        <v>1438</v>
      </c>
      <c r="AA282" s="25"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27">
        <v>0</v>
      </c>
      <c r="AS282" s="27">
        <v>0</v>
      </c>
      <c r="AT282" s="27">
        <v>0</v>
      </c>
      <c r="AU282" s="27">
        <v>0</v>
      </c>
      <c r="AV282" s="27">
        <v>0</v>
      </c>
      <c r="AW282" s="7">
        <v>0</v>
      </c>
      <c r="AX282" s="7">
        <v>1</v>
      </c>
      <c r="AY282" s="6">
        <v>5</v>
      </c>
      <c r="AZ282" s="7">
        <v>0</v>
      </c>
      <c r="BA282" s="7">
        <v>0</v>
      </c>
      <c r="BB282" s="7">
        <v>0</v>
      </c>
      <c r="BC282" s="7">
        <v>1</v>
      </c>
      <c r="BD282" s="7">
        <v>1</v>
      </c>
      <c r="BE282" s="7">
        <v>0</v>
      </c>
      <c r="BF282" s="7">
        <v>0</v>
      </c>
      <c r="BG282" s="7">
        <v>0</v>
      </c>
      <c r="BH282" s="7">
        <v>0</v>
      </c>
      <c r="BI282" s="7">
        <v>0</v>
      </c>
      <c r="BJ282" s="7">
        <v>1</v>
      </c>
      <c r="BK282" s="24">
        <v>1</v>
      </c>
      <c r="BL282" s="7" t="s">
        <v>1436</v>
      </c>
      <c r="BM282" s="6">
        <v>1</v>
      </c>
    </row>
    <row r="283" spans="1:65" s="20" customFormat="1" ht="30" customHeight="1" x14ac:dyDescent="0.3">
      <c r="A283" s="20" t="s">
        <v>19</v>
      </c>
      <c r="B283" s="20">
        <v>2</v>
      </c>
      <c r="C283" s="21">
        <v>44492</v>
      </c>
      <c r="D283" s="22">
        <v>0.22916666666666666</v>
      </c>
      <c r="E283" s="23">
        <v>58</v>
      </c>
      <c r="F283" s="20">
        <v>0</v>
      </c>
      <c r="G283" s="20">
        <v>0</v>
      </c>
      <c r="H283" s="20">
        <v>0</v>
      </c>
      <c r="I283" s="20">
        <v>0</v>
      </c>
      <c r="J283" s="22">
        <v>0.2722222222222222</v>
      </c>
      <c r="K283" s="20">
        <v>143.4</v>
      </c>
      <c r="L283" s="11">
        <f t="shared" si="517"/>
        <v>0.20000000000001705</v>
      </c>
      <c r="M283" s="5">
        <f t="shared" si="518"/>
        <v>2315</v>
      </c>
      <c r="N283" s="24">
        <v>30.5</v>
      </c>
      <c r="O283" s="24">
        <v>32.125</v>
      </c>
      <c r="P283" s="24">
        <v>10.625</v>
      </c>
      <c r="Q283" s="24">
        <v>10.75</v>
      </c>
      <c r="R283" s="24">
        <v>20</v>
      </c>
      <c r="S283" s="24">
        <v>20.125</v>
      </c>
      <c r="T283" s="32"/>
      <c r="U283" s="32"/>
      <c r="V283" s="32"/>
      <c r="W283" s="32"/>
      <c r="X283" s="32"/>
      <c r="Y283" s="32"/>
      <c r="Z283" s="20" t="s">
        <v>1439</v>
      </c>
      <c r="AA283" s="25" t="s">
        <v>1463</v>
      </c>
      <c r="AB283" s="6">
        <f>440+280+240+100+480+400+525</f>
        <v>2465</v>
      </c>
      <c r="AC283" s="6">
        <f>10+24+3+10+29+3+23</f>
        <v>102</v>
      </c>
      <c r="AD283" s="6">
        <f>4+14+1+6+16+0+0</f>
        <v>41</v>
      </c>
      <c r="AE283" s="6">
        <f>12+20+9+2+10+13+0</f>
        <v>66</v>
      </c>
      <c r="AF283" s="6">
        <f>76+0+47+2+54+83+75</f>
        <v>337</v>
      </c>
      <c r="AG283" s="6">
        <f>8+0+3+0+3+3+0</f>
        <v>17</v>
      </c>
      <c r="AH283" s="6">
        <f>1360+460+600+105+160+933+225</f>
        <v>3843</v>
      </c>
      <c r="AI283" s="6">
        <f t="shared" si="519"/>
        <v>4.1379310344827586E-2</v>
      </c>
      <c r="AJ283" s="6">
        <f t="shared" si="520"/>
        <v>1.6632860040567951E-2</v>
      </c>
      <c r="AK283" s="6">
        <f t="shared" si="521"/>
        <v>2.6774847870182555E-2</v>
      </c>
      <c r="AL283" s="6">
        <f t="shared" si="522"/>
        <v>0.13671399594320488</v>
      </c>
      <c r="AM283" s="6">
        <f t="shared" si="523"/>
        <v>6.8965517241379309E-3</v>
      </c>
      <c r="AN283" s="6">
        <f t="shared" si="524"/>
        <v>1.559026369168357</v>
      </c>
      <c r="AO283" s="7">
        <v>5</v>
      </c>
      <c r="AP283" s="7">
        <v>0</v>
      </c>
      <c r="AQ283" s="7">
        <v>1</v>
      </c>
      <c r="AR283" s="28">
        <v>0</v>
      </c>
      <c r="AS283" s="28">
        <v>0</v>
      </c>
      <c r="AT283" s="28">
        <v>0</v>
      </c>
      <c r="AU283" s="27">
        <v>0</v>
      </c>
      <c r="AV283" s="28">
        <v>0</v>
      </c>
      <c r="AW283" s="20">
        <v>1</v>
      </c>
      <c r="AX283" s="20">
        <v>1</v>
      </c>
      <c r="AY283" s="6">
        <v>5</v>
      </c>
      <c r="AZ283" s="20">
        <v>0</v>
      </c>
      <c r="BA283" s="20">
        <v>0</v>
      </c>
      <c r="BB283" s="20">
        <v>0</v>
      </c>
      <c r="BC283" s="20">
        <v>1</v>
      </c>
      <c r="BD283" s="20">
        <v>1</v>
      </c>
      <c r="BE283" s="20">
        <v>0</v>
      </c>
      <c r="BF283" s="20">
        <v>0</v>
      </c>
      <c r="BG283" s="20">
        <v>0</v>
      </c>
      <c r="BH283" s="20">
        <v>0</v>
      </c>
      <c r="BI283" s="20">
        <v>0</v>
      </c>
      <c r="BJ283" s="20">
        <v>0</v>
      </c>
      <c r="BK283" s="24">
        <v>1</v>
      </c>
      <c r="BL283" s="20" t="s">
        <v>1436</v>
      </c>
      <c r="BM283" s="24">
        <v>1.6666666666666667</v>
      </c>
    </row>
    <row r="284" spans="1:65" s="20" customFormat="1" ht="30" customHeight="1" x14ac:dyDescent="0.3">
      <c r="A284" s="20" t="s">
        <v>23</v>
      </c>
      <c r="B284" s="20">
        <v>3</v>
      </c>
      <c r="C284" s="21">
        <v>44493</v>
      </c>
      <c r="D284" s="22">
        <v>0.25</v>
      </c>
      <c r="E284" s="23">
        <v>56</v>
      </c>
      <c r="F284" s="20">
        <v>0</v>
      </c>
      <c r="G284" s="20">
        <v>0</v>
      </c>
      <c r="H284" s="20">
        <v>0</v>
      </c>
      <c r="I284" s="20">
        <v>0</v>
      </c>
      <c r="J284" s="22">
        <v>0.33680555555555558</v>
      </c>
      <c r="K284" s="20">
        <v>142</v>
      </c>
      <c r="L284" s="11">
        <f t="shared" ref="L284" si="525">K284-K283</f>
        <v>-1.4000000000000057</v>
      </c>
      <c r="M284" s="5">
        <f t="shared" ref="M284" si="526">AB283</f>
        <v>2465</v>
      </c>
      <c r="N284" s="24">
        <v>30</v>
      </c>
      <c r="O284" s="24">
        <v>32.5</v>
      </c>
      <c r="P284" s="24">
        <v>10.75</v>
      </c>
      <c r="Q284" s="24">
        <v>10.75</v>
      </c>
      <c r="R284" s="24">
        <v>20</v>
      </c>
      <c r="S284" s="24">
        <v>20.25</v>
      </c>
      <c r="T284" s="32"/>
      <c r="U284" s="32"/>
      <c r="V284" s="32"/>
      <c r="W284" s="32"/>
      <c r="X284" s="32"/>
      <c r="Y284" s="32"/>
      <c r="Z284" s="20" t="s">
        <v>1440</v>
      </c>
      <c r="AA284" s="25" t="s">
        <v>1464</v>
      </c>
      <c r="AB284" s="6">
        <f>800+350+440+420+400</f>
        <v>2410</v>
      </c>
      <c r="AC284" s="6">
        <f>5+30+10+18+22</f>
        <v>85</v>
      </c>
      <c r="AD284" s="6">
        <f>0+18+4+0+9</f>
        <v>31</v>
      </c>
      <c r="AE284" s="6">
        <f>27+25+12+0+19</f>
        <v>83</v>
      </c>
      <c r="AF284" s="6">
        <f>165+0+76+60+38</f>
        <v>339</v>
      </c>
      <c r="AG284" s="6">
        <f>5+0+8+0+3</f>
        <v>16</v>
      </c>
      <c r="AH284" s="6">
        <f>1867+575+1360+180+920</f>
        <v>4902</v>
      </c>
      <c r="AI284" s="6">
        <f t="shared" si="519"/>
        <v>3.5269709543568464E-2</v>
      </c>
      <c r="AJ284" s="6">
        <f t="shared" si="520"/>
        <v>1.2863070539419087E-2</v>
      </c>
      <c r="AK284" s="6">
        <f t="shared" si="521"/>
        <v>3.4439834024896268E-2</v>
      </c>
      <c r="AL284" s="6">
        <f t="shared" si="522"/>
        <v>0.14066390041493776</v>
      </c>
      <c r="AM284" s="6">
        <f t="shared" si="523"/>
        <v>6.6390041493775932E-3</v>
      </c>
      <c r="AN284" s="6">
        <f t="shared" si="524"/>
        <v>2.03402489626556</v>
      </c>
      <c r="AO284" s="7">
        <v>5</v>
      </c>
      <c r="AP284" s="7">
        <v>1</v>
      </c>
      <c r="AQ284" s="7">
        <v>1</v>
      </c>
      <c r="AR284" s="28">
        <v>0</v>
      </c>
      <c r="AS284" s="28">
        <v>0</v>
      </c>
      <c r="AT284" s="28">
        <v>0</v>
      </c>
      <c r="AU284" s="27">
        <v>0</v>
      </c>
      <c r="AV284" s="28">
        <v>0</v>
      </c>
      <c r="AW284" s="20">
        <v>31</v>
      </c>
      <c r="AX284" s="20">
        <v>1</v>
      </c>
      <c r="AY284" s="6">
        <v>7.5</v>
      </c>
      <c r="AZ284" s="20">
        <v>0</v>
      </c>
      <c r="BA284" s="20">
        <v>0</v>
      </c>
      <c r="BB284" s="20">
        <v>0</v>
      </c>
      <c r="BC284" s="20">
        <v>1</v>
      </c>
      <c r="BD284" s="20">
        <v>1</v>
      </c>
      <c r="BE284" s="20">
        <v>0</v>
      </c>
      <c r="BF284" s="20">
        <v>0</v>
      </c>
      <c r="BG284" s="20">
        <v>0</v>
      </c>
      <c r="BH284" s="20">
        <v>0</v>
      </c>
      <c r="BI284" s="20">
        <v>0</v>
      </c>
      <c r="BJ284" s="20">
        <v>1</v>
      </c>
      <c r="BK284" s="24">
        <v>2</v>
      </c>
      <c r="BL284" s="20" t="s">
        <v>1129</v>
      </c>
      <c r="BM284" s="24">
        <v>1.6666666666666667</v>
      </c>
    </row>
    <row r="285" spans="1:65" ht="30" customHeight="1" x14ac:dyDescent="0.3">
      <c r="A285" s="20" t="s">
        <v>15</v>
      </c>
      <c r="B285" s="20">
        <v>4</v>
      </c>
      <c r="C285" s="8">
        <v>44494</v>
      </c>
      <c r="D285" s="9">
        <v>0.25</v>
      </c>
      <c r="E285" s="4">
        <v>58</v>
      </c>
      <c r="F285" s="20">
        <v>0</v>
      </c>
      <c r="G285" s="20">
        <v>0</v>
      </c>
      <c r="H285" s="20">
        <v>0</v>
      </c>
      <c r="I285" s="20">
        <v>0</v>
      </c>
      <c r="J285" s="9">
        <v>0.69444444444444453</v>
      </c>
      <c r="K285" s="20">
        <v>142.4</v>
      </c>
      <c r="L285" s="11">
        <f t="shared" ref="L285" si="527">K285-K284</f>
        <v>0.40000000000000568</v>
      </c>
      <c r="M285" s="5">
        <f t="shared" ref="M285:M288" si="528">AB284</f>
        <v>2410</v>
      </c>
      <c r="N285" s="11">
        <v>31</v>
      </c>
      <c r="O285" s="11">
        <v>32</v>
      </c>
      <c r="P285" s="11">
        <v>10.625</v>
      </c>
      <c r="Q285" s="11">
        <v>10.75</v>
      </c>
      <c r="R285" s="11">
        <v>19.75</v>
      </c>
      <c r="S285" s="11">
        <v>20.375</v>
      </c>
      <c r="T285" s="30"/>
      <c r="U285" s="30"/>
      <c r="V285" s="30"/>
      <c r="W285" s="30"/>
      <c r="X285" s="30"/>
      <c r="Y285" s="30"/>
      <c r="Z285" s="20" t="s">
        <v>1441</v>
      </c>
      <c r="AA285" s="10" t="s">
        <v>1465</v>
      </c>
      <c r="AB285" s="5">
        <f>420+150+240+400+140+480</f>
        <v>1830</v>
      </c>
      <c r="AC285" s="6">
        <f>18+15+2+22+12+29</f>
        <v>98</v>
      </c>
      <c r="AD285" s="6">
        <f>0+9+1+9+7+16</f>
        <v>42</v>
      </c>
      <c r="AE285" s="6">
        <f>0+3+8+19+10+10</f>
        <v>50</v>
      </c>
      <c r="AF285" s="6">
        <f>60+3+46+38+0+54</f>
        <v>201</v>
      </c>
      <c r="AG285" s="6">
        <f>0+0+2+3+0+3</f>
        <v>8</v>
      </c>
      <c r="AH285" s="6">
        <f>180+158+630+920+230+160</f>
        <v>2278</v>
      </c>
      <c r="AI285" s="6">
        <f t="shared" si="519"/>
        <v>5.3551912568306013E-2</v>
      </c>
      <c r="AJ285" s="6">
        <f t="shared" si="520"/>
        <v>2.2950819672131147E-2</v>
      </c>
      <c r="AK285" s="6">
        <f t="shared" si="521"/>
        <v>2.7322404371584699E-2</v>
      </c>
      <c r="AL285" s="6">
        <f t="shared" si="522"/>
        <v>0.10983606557377049</v>
      </c>
      <c r="AM285" s="6">
        <f t="shared" si="523"/>
        <v>4.3715846994535519E-3</v>
      </c>
      <c r="AN285" s="6">
        <f t="shared" si="524"/>
        <v>1.2448087431693988</v>
      </c>
      <c r="AO285" s="7">
        <v>5</v>
      </c>
      <c r="AP285" s="7">
        <v>3</v>
      </c>
      <c r="AQ285" s="7">
        <v>1</v>
      </c>
      <c r="AR285" s="27">
        <v>0</v>
      </c>
      <c r="AS285" s="27">
        <v>0</v>
      </c>
      <c r="AT285" s="27">
        <v>0</v>
      </c>
      <c r="AU285" s="27">
        <v>0</v>
      </c>
      <c r="AV285" s="27">
        <v>0</v>
      </c>
      <c r="AW285" s="7">
        <v>0</v>
      </c>
      <c r="AX285" s="7">
        <v>1</v>
      </c>
      <c r="AY285" s="5">
        <v>6</v>
      </c>
      <c r="AZ285" s="7">
        <v>0</v>
      </c>
      <c r="BA285" s="7">
        <v>0</v>
      </c>
      <c r="BB285" s="7">
        <v>0</v>
      </c>
      <c r="BC285" s="7">
        <v>1</v>
      </c>
      <c r="BD285" s="7">
        <v>1</v>
      </c>
      <c r="BE285" s="7">
        <v>0</v>
      </c>
      <c r="BF285" s="7">
        <v>0</v>
      </c>
      <c r="BG285" s="7">
        <v>0</v>
      </c>
      <c r="BH285" s="7">
        <v>0</v>
      </c>
      <c r="BI285" s="20">
        <v>0</v>
      </c>
      <c r="BJ285" s="7">
        <v>1</v>
      </c>
      <c r="BK285" s="11">
        <v>2</v>
      </c>
      <c r="BL285" s="7" t="s">
        <v>1129</v>
      </c>
      <c r="BM285" s="11">
        <v>1</v>
      </c>
    </row>
    <row r="286" spans="1:65" ht="30" customHeight="1" x14ac:dyDescent="0.3">
      <c r="A286" s="20" t="s">
        <v>16</v>
      </c>
      <c r="B286" s="20">
        <v>5</v>
      </c>
      <c r="C286" s="8">
        <v>44495</v>
      </c>
      <c r="D286" s="9">
        <v>0.25</v>
      </c>
      <c r="E286" s="4">
        <v>48</v>
      </c>
      <c r="F286" s="20">
        <v>0</v>
      </c>
      <c r="G286" s="20">
        <v>0</v>
      </c>
      <c r="H286" s="20">
        <v>0</v>
      </c>
      <c r="I286" s="20">
        <v>0</v>
      </c>
      <c r="J286" s="9">
        <v>0.54861111111111105</v>
      </c>
      <c r="K286" s="20">
        <v>143.4</v>
      </c>
      <c r="L286" s="11">
        <f t="shared" ref="L286:L288" si="529">K286-K285</f>
        <v>1</v>
      </c>
      <c r="M286" s="5">
        <f t="shared" si="528"/>
        <v>1830</v>
      </c>
      <c r="N286" s="11">
        <v>31.375</v>
      </c>
      <c r="O286" s="11">
        <v>32.75</v>
      </c>
      <c r="P286" s="11">
        <v>10.75</v>
      </c>
      <c r="Q286" s="11">
        <v>10.75</v>
      </c>
      <c r="R286" s="11">
        <v>19.75</v>
      </c>
      <c r="S286" s="11">
        <v>20.125</v>
      </c>
      <c r="T286" s="30"/>
      <c r="U286" s="30"/>
      <c r="V286" s="30"/>
      <c r="W286" s="30"/>
      <c r="X286" s="30"/>
      <c r="Y286" s="30"/>
      <c r="Z286" s="20" t="s">
        <v>1453</v>
      </c>
      <c r="AA286" s="10" t="s">
        <v>1466</v>
      </c>
      <c r="AB286" s="5">
        <f>640+450+240+150+270+120</f>
        <v>1870</v>
      </c>
      <c r="AC286" s="6">
        <f>52+18+2+15+2+8</f>
        <v>97</v>
      </c>
      <c r="AD286" s="6">
        <f>6+3+1+9+1+5</f>
        <v>25</v>
      </c>
      <c r="AE286" s="6">
        <f>24+6+8+3+9+10</f>
        <v>60</v>
      </c>
      <c r="AF286" s="6">
        <f>32+60+46+3+53+2</f>
        <v>196</v>
      </c>
      <c r="AG286" s="6">
        <f>12+3+2+0+2+0</f>
        <v>19</v>
      </c>
      <c r="AH286" s="6">
        <f>540+1080+630+158+450+280</f>
        <v>3138</v>
      </c>
      <c r="AI286" s="6">
        <f t="shared" si="519"/>
        <v>5.1871657754010696E-2</v>
      </c>
      <c r="AJ286" s="6">
        <f t="shared" si="520"/>
        <v>1.3368983957219251E-2</v>
      </c>
      <c r="AK286" s="6">
        <f t="shared" si="521"/>
        <v>3.2085561497326207E-2</v>
      </c>
      <c r="AL286" s="6">
        <f t="shared" si="522"/>
        <v>0.10481283422459893</v>
      </c>
      <c r="AM286" s="6">
        <f t="shared" si="523"/>
        <v>1.0160427807486631E-2</v>
      </c>
      <c r="AN286" s="6">
        <f t="shared" si="524"/>
        <v>1.6780748663101603</v>
      </c>
      <c r="AO286" s="7">
        <v>6</v>
      </c>
      <c r="AP286" s="7">
        <v>0</v>
      </c>
      <c r="AQ286" s="7">
        <v>1</v>
      </c>
      <c r="AR286" s="28">
        <v>0</v>
      </c>
      <c r="AS286" s="28">
        <v>0</v>
      </c>
      <c r="AT286" s="28">
        <v>0</v>
      </c>
      <c r="AU286" s="27">
        <v>0</v>
      </c>
      <c r="AV286" s="28">
        <v>0</v>
      </c>
      <c r="AW286" s="7">
        <v>0</v>
      </c>
      <c r="AX286" s="7">
        <v>0</v>
      </c>
      <c r="AY286" s="5">
        <v>6.5</v>
      </c>
      <c r="AZ286" s="20">
        <v>0</v>
      </c>
      <c r="BA286" s="7">
        <v>1</v>
      </c>
      <c r="BB286" s="20">
        <v>0</v>
      </c>
      <c r="BC286" s="20">
        <v>1</v>
      </c>
      <c r="BD286" s="20">
        <v>1</v>
      </c>
      <c r="BE286" s="20">
        <v>0</v>
      </c>
      <c r="BF286" s="7">
        <v>0</v>
      </c>
      <c r="BG286" s="7">
        <v>0</v>
      </c>
      <c r="BH286" s="20">
        <v>0</v>
      </c>
      <c r="BI286" s="20">
        <v>0</v>
      </c>
      <c r="BJ286" s="20">
        <v>1</v>
      </c>
      <c r="BK286" s="11">
        <v>0</v>
      </c>
      <c r="BL286" s="3">
        <v>0</v>
      </c>
      <c r="BM286" s="11">
        <v>1</v>
      </c>
    </row>
    <row r="287" spans="1:65" ht="30" customHeight="1" x14ac:dyDescent="0.3">
      <c r="A287" s="20" t="s">
        <v>17</v>
      </c>
      <c r="B287" s="20">
        <v>6</v>
      </c>
      <c r="C287" s="8">
        <v>44496</v>
      </c>
      <c r="D287" s="9">
        <v>0.25</v>
      </c>
      <c r="E287" s="4">
        <v>48</v>
      </c>
      <c r="F287" s="20">
        <v>0</v>
      </c>
      <c r="G287" s="20">
        <v>0</v>
      </c>
      <c r="H287" s="20">
        <v>0</v>
      </c>
      <c r="I287" s="20">
        <v>0</v>
      </c>
      <c r="J287" s="29"/>
      <c r="K287" s="33"/>
      <c r="L287" s="30"/>
      <c r="M287" s="31"/>
      <c r="N287" s="30"/>
      <c r="O287" s="30"/>
      <c r="P287" s="30"/>
      <c r="Q287" s="30"/>
      <c r="R287" s="30"/>
      <c r="S287" s="30"/>
      <c r="T287" s="30"/>
      <c r="U287" s="30"/>
      <c r="V287" s="30"/>
      <c r="W287" s="30"/>
      <c r="X287" s="30"/>
      <c r="Y287" s="30"/>
      <c r="Z287" s="20" t="s">
        <v>1452</v>
      </c>
      <c r="AA287" s="10" t="s">
        <v>1467</v>
      </c>
      <c r="AB287" s="5">
        <f>375+810+300</f>
        <v>1485</v>
      </c>
      <c r="AC287" s="6">
        <f>15+5+20</f>
        <v>40</v>
      </c>
      <c r="AD287" s="6">
        <f>0+2+13</f>
        <v>15</v>
      </c>
      <c r="AE287" s="6">
        <f>0+27+25</f>
        <v>52</v>
      </c>
      <c r="AF287" s="6">
        <f>60+159+5</f>
        <v>224</v>
      </c>
      <c r="AG287" s="6">
        <f>0+6+0</f>
        <v>6</v>
      </c>
      <c r="AH287" s="6">
        <f>300+1350+700</f>
        <v>2350</v>
      </c>
      <c r="AI287" s="6">
        <f t="shared" si="519"/>
        <v>2.6936026936026935E-2</v>
      </c>
      <c r="AJ287" s="6">
        <f t="shared" si="520"/>
        <v>1.0101010101010102E-2</v>
      </c>
      <c r="AK287" s="6">
        <f t="shared" si="521"/>
        <v>3.5016835016835016E-2</v>
      </c>
      <c r="AL287" s="6">
        <f t="shared" si="522"/>
        <v>0.15084175084175083</v>
      </c>
      <c r="AM287" s="6">
        <f t="shared" si="523"/>
        <v>4.0404040404040404E-3</v>
      </c>
      <c r="AN287" s="6">
        <f t="shared" si="524"/>
        <v>1.5824915824915824</v>
      </c>
      <c r="AO287" s="7">
        <v>5</v>
      </c>
      <c r="AP287" s="7">
        <v>1</v>
      </c>
      <c r="AQ287" s="7">
        <v>1</v>
      </c>
      <c r="AR287" s="27">
        <v>0</v>
      </c>
      <c r="AS287" s="27">
        <v>0</v>
      </c>
      <c r="AT287" s="27">
        <v>0</v>
      </c>
      <c r="AU287" s="27">
        <v>0</v>
      </c>
      <c r="AV287" s="27">
        <v>0</v>
      </c>
      <c r="AW287" s="7">
        <v>0</v>
      </c>
      <c r="AX287" s="7">
        <v>1</v>
      </c>
      <c r="AY287" s="5">
        <v>6.5</v>
      </c>
      <c r="AZ287" s="20">
        <v>0</v>
      </c>
      <c r="BA287" s="7">
        <v>0</v>
      </c>
      <c r="BB287" s="7">
        <v>0</v>
      </c>
      <c r="BC287" s="7">
        <v>1</v>
      </c>
      <c r="BD287" s="7">
        <v>1</v>
      </c>
      <c r="BE287" s="7">
        <v>0</v>
      </c>
      <c r="BF287" s="7">
        <v>0</v>
      </c>
      <c r="BG287" s="7">
        <v>0</v>
      </c>
      <c r="BH287" s="7">
        <v>0</v>
      </c>
      <c r="BI287" s="20">
        <v>0</v>
      </c>
      <c r="BJ287" s="7">
        <v>1</v>
      </c>
      <c r="BK287" s="11">
        <v>1</v>
      </c>
      <c r="BL287" s="3" t="s">
        <v>1129</v>
      </c>
      <c r="BM287" s="11">
        <v>1</v>
      </c>
    </row>
    <row r="288" spans="1:65" ht="30" customHeight="1" x14ac:dyDescent="0.3">
      <c r="A288" s="20" t="s">
        <v>18</v>
      </c>
      <c r="B288" s="20">
        <v>7</v>
      </c>
      <c r="C288" s="8">
        <v>44497</v>
      </c>
      <c r="D288" s="9">
        <v>0.25</v>
      </c>
      <c r="E288" s="4">
        <v>56</v>
      </c>
      <c r="F288" s="20">
        <v>0</v>
      </c>
      <c r="G288" s="20">
        <v>0</v>
      </c>
      <c r="H288" s="20">
        <v>0</v>
      </c>
      <c r="I288" s="20">
        <v>0</v>
      </c>
      <c r="J288" s="9">
        <v>0.85555555555555562</v>
      </c>
      <c r="K288" s="20">
        <v>140.80000000000001</v>
      </c>
      <c r="L288" s="11">
        <f t="shared" si="529"/>
        <v>140.80000000000001</v>
      </c>
      <c r="M288" s="5">
        <f t="shared" si="528"/>
        <v>1485</v>
      </c>
      <c r="N288" s="11">
        <v>30.5</v>
      </c>
      <c r="O288" s="11">
        <v>32.24</v>
      </c>
      <c r="P288" s="11">
        <v>10.625</v>
      </c>
      <c r="Q288" s="11">
        <v>10.75</v>
      </c>
      <c r="R288" s="11">
        <v>19.75</v>
      </c>
      <c r="S288" s="11">
        <v>20.125</v>
      </c>
      <c r="T288" s="30"/>
      <c r="U288" s="30"/>
      <c r="V288" s="30"/>
      <c r="W288" s="30"/>
      <c r="X288" s="30"/>
      <c r="Y288" s="30"/>
      <c r="Z288" s="20" t="s">
        <v>1451</v>
      </c>
      <c r="AA288" s="10" t="s">
        <v>1468</v>
      </c>
      <c r="AB288" s="5">
        <f>375+140+160+180+1350+540+240+180</f>
        <v>3165</v>
      </c>
      <c r="AC288" s="6">
        <f>15+6+12+16+84+3+2+12</f>
        <v>150</v>
      </c>
      <c r="AD288" s="6">
        <f>0+0+7+9+14+1+1+8</f>
        <v>40</v>
      </c>
      <c r="AE288" s="6">
        <f>0+0+12+12+15+18+8+15</f>
        <v>80</v>
      </c>
      <c r="AF288" s="6">
        <f>60+20+2+0+126+106+46+3</f>
        <v>363</v>
      </c>
      <c r="AG288" s="6">
        <f>0+0+0+0+6+4+2+0</f>
        <v>12</v>
      </c>
      <c r="AH288" s="6">
        <f>300+60+300+320+2040+900+630+420</f>
        <v>4970</v>
      </c>
      <c r="AI288" s="6">
        <f t="shared" si="519"/>
        <v>4.7393364928909949E-2</v>
      </c>
      <c r="AJ288" s="6">
        <f t="shared" si="520"/>
        <v>1.2638230647709321E-2</v>
      </c>
      <c r="AK288" s="6">
        <f t="shared" si="521"/>
        <v>2.5276461295418641E-2</v>
      </c>
      <c r="AL288" s="6">
        <f t="shared" si="522"/>
        <v>0.11469194312796209</v>
      </c>
      <c r="AM288" s="6">
        <f t="shared" si="523"/>
        <v>3.7914691943127963E-3</v>
      </c>
      <c r="AN288" s="6">
        <f t="shared" si="524"/>
        <v>1.570300157977883</v>
      </c>
      <c r="AO288" s="7">
        <v>6</v>
      </c>
      <c r="AP288" s="7">
        <v>2</v>
      </c>
      <c r="AQ288" s="7">
        <v>0</v>
      </c>
      <c r="AR288" s="28">
        <v>0</v>
      </c>
      <c r="AS288" s="28">
        <v>0</v>
      </c>
      <c r="AT288" s="28">
        <v>0</v>
      </c>
      <c r="AU288" s="27">
        <v>0</v>
      </c>
      <c r="AV288" s="28">
        <v>0</v>
      </c>
      <c r="AW288" s="7">
        <v>1</v>
      </c>
      <c r="AX288" s="7">
        <v>1</v>
      </c>
      <c r="AY288" s="5">
        <v>6</v>
      </c>
      <c r="AZ288" s="7">
        <v>0</v>
      </c>
      <c r="BA288" s="7">
        <v>1</v>
      </c>
      <c r="BB288" s="20">
        <v>0</v>
      </c>
      <c r="BC288" s="20">
        <v>1</v>
      </c>
      <c r="BD288" s="20">
        <v>1</v>
      </c>
      <c r="BE288" s="20">
        <v>0</v>
      </c>
      <c r="BF288" s="7">
        <v>0</v>
      </c>
      <c r="BG288" s="7">
        <v>0</v>
      </c>
      <c r="BH288" s="20">
        <v>0</v>
      </c>
      <c r="BI288" s="20">
        <v>0</v>
      </c>
      <c r="BJ288" s="20">
        <v>1</v>
      </c>
      <c r="BK288" s="11">
        <v>3</v>
      </c>
      <c r="BL288" s="3" t="s">
        <v>1448</v>
      </c>
      <c r="BM288" s="11">
        <v>1</v>
      </c>
    </row>
    <row r="289" spans="1:65" ht="30" customHeight="1" x14ac:dyDescent="0.3">
      <c r="A289" s="20" t="s">
        <v>137</v>
      </c>
      <c r="B289" s="20">
        <v>8</v>
      </c>
      <c r="C289" s="8">
        <v>44498</v>
      </c>
      <c r="D289" s="9">
        <v>0.25</v>
      </c>
      <c r="E289" s="4">
        <v>56</v>
      </c>
      <c r="F289" s="20">
        <v>0</v>
      </c>
      <c r="G289" s="20">
        <v>0</v>
      </c>
      <c r="H289" s="20">
        <v>0</v>
      </c>
      <c r="I289" s="20">
        <v>0</v>
      </c>
      <c r="J289" s="9">
        <v>0.65972222222222221</v>
      </c>
      <c r="K289" s="20">
        <v>139.80000000000001</v>
      </c>
      <c r="L289" s="11">
        <f t="shared" ref="L289" si="530">K289-K288</f>
        <v>-1</v>
      </c>
      <c r="M289" s="5">
        <f t="shared" ref="M289" si="531">AB288</f>
        <v>3165</v>
      </c>
      <c r="N289" s="11">
        <v>30.25</v>
      </c>
      <c r="O289" s="11">
        <v>32</v>
      </c>
      <c r="P289" s="11">
        <v>10.9375</v>
      </c>
      <c r="Q289" s="11">
        <v>10.75</v>
      </c>
      <c r="R289" s="11">
        <v>19.75</v>
      </c>
      <c r="S289" s="11">
        <v>19.75</v>
      </c>
      <c r="T289" s="30"/>
      <c r="U289" s="30"/>
      <c r="V289" s="30"/>
      <c r="W289" s="30"/>
      <c r="X289" s="30"/>
      <c r="Y289" s="30"/>
      <c r="Z289" s="20" t="s">
        <v>1450</v>
      </c>
      <c r="AA289" s="10" t="s">
        <v>1469</v>
      </c>
      <c r="AB289" s="5">
        <f>480+150+160+180+338+360+525</f>
        <v>2193</v>
      </c>
      <c r="AC289" s="6">
        <f>4+15+12+16+21+11+21</f>
        <v>100</v>
      </c>
      <c r="AD289" s="6">
        <f>1+9+7+9+3+2+0</f>
        <v>31</v>
      </c>
      <c r="AE289" s="6">
        <f>16+3+12+12+4+6+0</f>
        <v>53</v>
      </c>
      <c r="AF289" s="6">
        <f>92+3+2+0+32+66+84</f>
        <v>279</v>
      </c>
      <c r="AG289" s="6">
        <f>4+0+0+0+2+3+0</f>
        <v>9</v>
      </c>
      <c r="AH289" s="6">
        <f>1260+158+300+320+510+750+420</f>
        <v>3718</v>
      </c>
      <c r="AI289" s="6">
        <f t="shared" si="519"/>
        <v>4.5599635202918376E-2</v>
      </c>
      <c r="AJ289" s="6">
        <f t="shared" si="520"/>
        <v>1.4135886912904697E-2</v>
      </c>
      <c r="AK289" s="6">
        <f t="shared" si="521"/>
        <v>2.4167806657546739E-2</v>
      </c>
      <c r="AL289" s="6">
        <f t="shared" si="522"/>
        <v>0.12722298221614228</v>
      </c>
      <c r="AM289" s="6">
        <f t="shared" si="523"/>
        <v>4.1039671682626538E-3</v>
      </c>
      <c r="AN289" s="6">
        <f t="shared" si="524"/>
        <v>1.6953944368445053</v>
      </c>
      <c r="AO289" s="7">
        <v>6</v>
      </c>
      <c r="AP289" s="7">
        <v>1</v>
      </c>
      <c r="AQ289" s="7">
        <v>0</v>
      </c>
      <c r="AR289" s="27">
        <v>0</v>
      </c>
      <c r="AS289" s="27">
        <v>0</v>
      </c>
      <c r="AT289" s="27">
        <v>0</v>
      </c>
      <c r="AU289" s="27">
        <v>0</v>
      </c>
      <c r="AV289" s="27">
        <v>0</v>
      </c>
      <c r="AW289" s="7">
        <v>0</v>
      </c>
      <c r="AX289" s="7">
        <v>1</v>
      </c>
      <c r="AY289" s="5">
        <v>8.5</v>
      </c>
      <c r="AZ289" s="20">
        <v>0</v>
      </c>
      <c r="BA289" s="7">
        <v>1</v>
      </c>
      <c r="BB289" s="7">
        <v>0</v>
      </c>
      <c r="BC289" s="7">
        <v>1</v>
      </c>
      <c r="BD289" s="7">
        <v>1</v>
      </c>
      <c r="BE289" s="7">
        <v>0</v>
      </c>
      <c r="BF289" s="3">
        <v>1</v>
      </c>
      <c r="BG289" s="3">
        <v>20</v>
      </c>
      <c r="BH289" s="7">
        <v>0</v>
      </c>
      <c r="BI289" s="20">
        <v>0</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J290" s="9">
        <v>0.27777777777777779</v>
      </c>
      <c r="K290" s="20">
        <v>141</v>
      </c>
      <c r="L290" s="11">
        <f t="shared" ref="L290" si="532">K290-K289</f>
        <v>1.1999999999999886</v>
      </c>
      <c r="M290" s="5">
        <f t="shared" ref="M290" si="533">AB289</f>
        <v>2193</v>
      </c>
      <c r="N290" s="11">
        <v>31.25</v>
      </c>
      <c r="O290" s="11">
        <v>32.25</v>
      </c>
      <c r="P290" s="11">
        <v>10.5</v>
      </c>
      <c r="Q290" s="11">
        <v>10.75</v>
      </c>
      <c r="R290" s="11">
        <v>19.5</v>
      </c>
      <c r="S290" s="11">
        <v>19.75</v>
      </c>
      <c r="T290" s="30"/>
      <c r="U290" s="30"/>
      <c r="V290" s="30"/>
      <c r="W290" s="30"/>
      <c r="X290" s="30"/>
      <c r="Y290" s="30"/>
      <c r="Z290" s="20" t="s">
        <v>1454</v>
      </c>
      <c r="AA290" s="10" t="s">
        <v>1471</v>
      </c>
      <c r="AB290" s="5">
        <f>240+160+170+400+225+135+200+60+70</f>
        <v>1660</v>
      </c>
      <c r="AC290" s="6">
        <f>3+12+15+0+9+5+2+4+6</f>
        <v>56</v>
      </c>
      <c r="AD290" s="6">
        <f>1+7+2+0+0+2+0+3+4</f>
        <v>19</v>
      </c>
      <c r="AE290" s="6">
        <f>9+12+6+5+0+0+8+5+5</f>
        <v>50</v>
      </c>
      <c r="AF290" s="6">
        <f>47+2+5+95+36+20+40+1+0</f>
        <v>246</v>
      </c>
      <c r="AG290" s="6">
        <f>3+0+2+0+0+0+10+0+0</f>
        <v>15</v>
      </c>
      <c r="AH290" s="6">
        <f>600+300+85+100+180+0+360+140+35</f>
        <v>1800</v>
      </c>
      <c r="AI290" s="6">
        <f t="shared" si="519"/>
        <v>3.3734939759036145E-2</v>
      </c>
      <c r="AJ290" s="6">
        <f t="shared" si="520"/>
        <v>1.144578313253012E-2</v>
      </c>
      <c r="AK290" s="6">
        <f t="shared" si="521"/>
        <v>3.0120481927710843E-2</v>
      </c>
      <c r="AL290" s="6">
        <f t="shared" si="522"/>
        <v>0.14819277108433734</v>
      </c>
      <c r="AM290" s="6">
        <f t="shared" si="523"/>
        <v>9.0361445783132526E-3</v>
      </c>
      <c r="AN290" s="6">
        <f t="shared" si="524"/>
        <v>1.0843373493975903</v>
      </c>
      <c r="AO290" s="7">
        <v>5</v>
      </c>
      <c r="AP290" s="7">
        <v>0</v>
      </c>
      <c r="AQ290" s="7">
        <v>0</v>
      </c>
      <c r="AR290" s="28">
        <v>0</v>
      </c>
      <c r="AS290" s="28">
        <v>0</v>
      </c>
      <c r="AT290" s="28">
        <v>0</v>
      </c>
      <c r="AU290" s="27">
        <v>0</v>
      </c>
      <c r="AV290" s="28">
        <v>0</v>
      </c>
      <c r="AW290" s="7">
        <v>1</v>
      </c>
      <c r="AX290" s="7">
        <v>1</v>
      </c>
      <c r="AY290" s="5">
        <v>6</v>
      </c>
      <c r="AZ290" s="20">
        <v>0</v>
      </c>
      <c r="BA290" s="7">
        <v>0</v>
      </c>
      <c r="BB290" s="7">
        <v>0</v>
      </c>
      <c r="BC290" s="20">
        <v>1</v>
      </c>
      <c r="BD290" s="20">
        <v>1</v>
      </c>
      <c r="BE290" s="20">
        <v>0</v>
      </c>
      <c r="BF290" s="7">
        <v>0</v>
      </c>
      <c r="BG290" s="7">
        <v>0</v>
      </c>
      <c r="BH290" s="20">
        <v>0</v>
      </c>
      <c r="BI290" s="20">
        <v>0</v>
      </c>
      <c r="BK290" s="11">
        <v>1</v>
      </c>
      <c r="BL290" s="3" t="s">
        <v>1129</v>
      </c>
      <c r="BM290" s="11">
        <f>5/3</f>
        <v>1.6666666666666667</v>
      </c>
    </row>
    <row r="291" spans="1:65" ht="30" customHeight="1" x14ac:dyDescent="0.3">
      <c r="A291" s="20" t="s">
        <v>23</v>
      </c>
      <c r="B291" s="20">
        <v>10</v>
      </c>
      <c r="C291" s="8">
        <v>44500</v>
      </c>
      <c r="D291" s="9">
        <v>0.25</v>
      </c>
      <c r="E291" s="4">
        <v>60</v>
      </c>
      <c r="F291" s="20">
        <v>0</v>
      </c>
      <c r="G291" s="20">
        <v>0</v>
      </c>
      <c r="H291" s="20">
        <v>0</v>
      </c>
      <c r="I291" s="20">
        <v>0</v>
      </c>
      <c r="J291" s="29"/>
      <c r="K291" s="33"/>
      <c r="L291" s="30"/>
      <c r="M291" s="31"/>
      <c r="N291" s="30"/>
      <c r="O291" s="30"/>
      <c r="P291" s="30"/>
      <c r="Q291" s="30"/>
      <c r="R291" s="30"/>
      <c r="S291" s="30"/>
      <c r="T291" s="30"/>
      <c r="U291" s="30"/>
      <c r="V291" s="30"/>
      <c r="W291" s="30"/>
      <c r="X291" s="30"/>
      <c r="Y291" s="30"/>
      <c r="Z291" s="20" t="s">
        <v>1455</v>
      </c>
      <c r="AA291" s="10" t="s">
        <v>1470</v>
      </c>
      <c r="AB291" s="5">
        <f>400+360+160+180+120+140+60</f>
        <v>1420</v>
      </c>
      <c r="AC291" s="6">
        <f>0+0+12+16+8+12+2</f>
        <v>50</v>
      </c>
      <c r="AD291" s="6">
        <f>0+0+7+9+5+7+1</f>
        <v>29</v>
      </c>
      <c r="AE291" s="6">
        <f>5+12+12+12+10+10+0</f>
        <v>61</v>
      </c>
      <c r="AF291" s="6">
        <f>95+78+2+0+2+0+9</f>
        <v>186</v>
      </c>
      <c r="AG291" s="6">
        <f>0+2+0+0+0+0+0</f>
        <v>2</v>
      </c>
      <c r="AH291" s="6">
        <f>100+420+300+320+280+70+0</f>
        <v>1490</v>
      </c>
      <c r="AI291" s="6">
        <f t="shared" si="519"/>
        <v>3.5211267605633804E-2</v>
      </c>
      <c r="AJ291" s="6">
        <f t="shared" si="520"/>
        <v>2.0422535211267606E-2</v>
      </c>
      <c r="AK291" s="6">
        <f t="shared" si="521"/>
        <v>4.2957746478873238E-2</v>
      </c>
      <c r="AL291" s="6">
        <f t="shared" si="522"/>
        <v>0.13098591549295774</v>
      </c>
      <c r="AM291" s="6">
        <f t="shared" si="523"/>
        <v>1.4084507042253522E-3</v>
      </c>
      <c r="AN291" s="6">
        <f t="shared" si="524"/>
        <v>1.0492957746478873</v>
      </c>
      <c r="AO291" s="7">
        <v>5</v>
      </c>
      <c r="AP291" s="7">
        <v>0</v>
      </c>
      <c r="AQ291" s="7">
        <v>0</v>
      </c>
      <c r="AR291" s="27">
        <v>0</v>
      </c>
      <c r="AS291" s="27">
        <v>0</v>
      </c>
      <c r="AT291" s="27">
        <v>0</v>
      </c>
      <c r="AU291" s="27">
        <v>0</v>
      </c>
      <c r="AV291" s="27">
        <v>0</v>
      </c>
      <c r="AW291" s="7">
        <v>1</v>
      </c>
      <c r="AX291" s="7">
        <v>1</v>
      </c>
      <c r="AY291" s="5">
        <v>8</v>
      </c>
      <c r="AZ291" s="20">
        <v>0</v>
      </c>
      <c r="BA291" s="7">
        <v>1</v>
      </c>
      <c r="BB291" s="7">
        <v>0</v>
      </c>
      <c r="BC291" s="7">
        <v>1</v>
      </c>
      <c r="BD291" s="7">
        <v>1</v>
      </c>
      <c r="BE291" s="7">
        <v>0</v>
      </c>
      <c r="BF291" s="7">
        <v>0</v>
      </c>
      <c r="BG291" s="7">
        <v>0</v>
      </c>
      <c r="BH291" s="7">
        <v>0</v>
      </c>
      <c r="BI291" s="20">
        <v>0</v>
      </c>
      <c r="BJ291" s="7">
        <v>0</v>
      </c>
      <c r="BK291" s="11">
        <v>1</v>
      </c>
      <c r="BL291" s="3" t="s">
        <v>1129</v>
      </c>
      <c r="BM291" s="11">
        <f>5/3</f>
        <v>1.6666666666666667</v>
      </c>
    </row>
    <row r="292" spans="1:65" ht="30" customHeight="1" x14ac:dyDescent="0.3">
      <c r="A292" s="20" t="s">
        <v>1449</v>
      </c>
      <c r="B292" s="20">
        <v>11</v>
      </c>
      <c r="C292" s="8">
        <v>44501</v>
      </c>
      <c r="D292" s="9">
        <v>0.25</v>
      </c>
      <c r="E292" s="4">
        <v>51</v>
      </c>
      <c r="F292" s="3">
        <v>0</v>
      </c>
      <c r="G292" s="3">
        <v>0</v>
      </c>
      <c r="H292" s="3">
        <v>0</v>
      </c>
      <c r="I292" s="3">
        <v>0</v>
      </c>
      <c r="J292" s="29"/>
      <c r="K292" s="33"/>
      <c r="L292" s="30"/>
      <c r="M292" s="31"/>
      <c r="N292" s="30"/>
      <c r="O292" s="30"/>
      <c r="P292" s="30"/>
      <c r="Q292" s="30"/>
      <c r="R292" s="30"/>
      <c r="S292" s="30"/>
      <c r="T292" s="30"/>
      <c r="U292" s="30"/>
      <c r="V292" s="30"/>
      <c r="W292" s="30"/>
      <c r="X292" s="30"/>
      <c r="Y292" s="30"/>
      <c r="Z292" s="20" t="s">
        <v>1456</v>
      </c>
      <c r="AA292" s="10" t="s">
        <v>1472</v>
      </c>
      <c r="AB292" s="5">
        <f>60+540+210+60+480+160+90+120</f>
        <v>1720</v>
      </c>
      <c r="AC292" s="6">
        <f>2+0+18+4+28+12+8+3</f>
        <v>75</v>
      </c>
      <c r="AD292" s="6">
        <f>1+0+11+3+16+7+5+2</f>
        <v>45</v>
      </c>
      <c r="AE292" s="6">
        <f>0+18+15+5+38+12+6+2</f>
        <v>96</v>
      </c>
      <c r="AF292" s="6">
        <f>9+117+0+1+18+2+0+20</f>
        <v>167</v>
      </c>
      <c r="AG292" s="6">
        <f>0+3+0+0+6+0+0+1</f>
        <v>10</v>
      </c>
      <c r="AH292" s="6">
        <f>0+630+105+140+740+300+160+410</f>
        <v>2485</v>
      </c>
      <c r="AI292" s="6">
        <f t="shared" si="519"/>
        <v>4.3604651162790699E-2</v>
      </c>
      <c r="AJ292" s="6">
        <f t="shared" si="520"/>
        <v>2.616279069767442E-2</v>
      </c>
      <c r="AK292" s="6">
        <f t="shared" si="521"/>
        <v>5.5813953488372092E-2</v>
      </c>
      <c r="AL292" s="6">
        <f t="shared" si="522"/>
        <v>9.7093023255813954E-2</v>
      </c>
      <c r="AM292" s="6">
        <f t="shared" si="523"/>
        <v>5.8139534883720929E-3</v>
      </c>
      <c r="AN292" s="6">
        <f t="shared" si="524"/>
        <v>1.444767441860465</v>
      </c>
      <c r="AO292" s="7">
        <v>6</v>
      </c>
      <c r="AP292" s="7">
        <v>1</v>
      </c>
      <c r="AQ292" s="7">
        <v>0</v>
      </c>
      <c r="AR292" s="28">
        <v>0</v>
      </c>
      <c r="AS292" s="28">
        <v>0</v>
      </c>
      <c r="AT292" s="28">
        <v>0</v>
      </c>
      <c r="AU292" s="27">
        <v>0</v>
      </c>
      <c r="AV292" s="28">
        <v>0</v>
      </c>
      <c r="AW292" s="7">
        <v>1</v>
      </c>
      <c r="AX292" s="7">
        <v>1</v>
      </c>
      <c r="AY292" s="5">
        <v>5</v>
      </c>
      <c r="AZ292" s="20">
        <v>0</v>
      </c>
      <c r="BA292" s="7">
        <v>1</v>
      </c>
      <c r="BB292" s="7">
        <v>0</v>
      </c>
      <c r="BC292" s="20">
        <v>1</v>
      </c>
      <c r="BD292" s="20">
        <v>1</v>
      </c>
      <c r="BE292" s="20">
        <v>0</v>
      </c>
      <c r="BF292" s="7">
        <v>0</v>
      </c>
      <c r="BG292" s="7">
        <v>0</v>
      </c>
      <c r="BH292" s="20">
        <v>0</v>
      </c>
      <c r="BI292" s="20">
        <v>0</v>
      </c>
      <c r="BJ292" s="7">
        <v>1</v>
      </c>
      <c r="BK292" s="11">
        <v>1</v>
      </c>
      <c r="BL292" s="3" t="s">
        <v>1129</v>
      </c>
      <c r="BM292" s="11">
        <v>1.67</v>
      </c>
    </row>
    <row r="293" spans="1:65" s="26" customFormat="1" ht="30" customHeight="1" x14ac:dyDescent="0.3">
      <c r="A293" s="26" t="s">
        <v>16</v>
      </c>
      <c r="B293" s="26">
        <v>12</v>
      </c>
      <c r="C293" s="34">
        <v>44502</v>
      </c>
      <c r="D293" s="35">
        <v>0.25</v>
      </c>
      <c r="E293" s="36">
        <v>52</v>
      </c>
      <c r="F293" s="26">
        <v>0</v>
      </c>
      <c r="G293" s="26">
        <v>0</v>
      </c>
      <c r="H293" s="26">
        <v>0</v>
      </c>
      <c r="I293" s="26">
        <v>0</v>
      </c>
      <c r="J293" s="35">
        <v>0.35486111111111113</v>
      </c>
      <c r="K293" s="26">
        <v>142.6</v>
      </c>
      <c r="L293" s="37">
        <f t="shared" ref="L293" si="534">K293-K292</f>
        <v>142.6</v>
      </c>
      <c r="M293" s="38">
        <f t="shared" ref="M293" si="535">AB292</f>
        <v>1720</v>
      </c>
      <c r="N293" s="37">
        <v>30.25</v>
      </c>
      <c r="O293" s="37">
        <v>32.25</v>
      </c>
      <c r="P293" s="37">
        <v>10.625</v>
      </c>
      <c r="Q293" s="37">
        <v>10.625</v>
      </c>
      <c r="R293" s="37">
        <v>19.375</v>
      </c>
      <c r="S293" s="37">
        <v>19.625</v>
      </c>
      <c r="T293" s="39"/>
      <c r="U293" s="39"/>
      <c r="V293" s="39"/>
      <c r="W293" s="39"/>
      <c r="X293" s="39"/>
      <c r="Y293" s="39"/>
      <c r="Z293" s="26" t="s">
        <v>1474</v>
      </c>
      <c r="AA293" s="26" t="s">
        <v>1473</v>
      </c>
      <c r="AB293" s="38">
        <f>440+360+420+90+360+120+400</f>
        <v>2190</v>
      </c>
      <c r="AC293" s="38">
        <f>10+9+36+8+0+4+0</f>
        <v>67</v>
      </c>
      <c r="AD293" s="38">
        <f>4+6+21+5+0+2+0</f>
        <v>38</v>
      </c>
      <c r="AE293" s="38">
        <f>12+6+30+6+12+0+5</f>
        <v>71</v>
      </c>
      <c r="AF293" s="38">
        <f>76+60+0+0+78+18+95</f>
        <v>327</v>
      </c>
      <c r="AG293" s="38">
        <f>8+3+0+0+2+0+0</f>
        <v>13</v>
      </c>
      <c r="AH293" s="38">
        <f>1360+1230+210+160+420+0+100</f>
        <v>3480</v>
      </c>
      <c r="AI293" s="38">
        <f t="shared" si="519"/>
        <v>3.0593607305936073E-2</v>
      </c>
      <c r="AJ293" s="38">
        <f t="shared" si="520"/>
        <v>1.7351598173515982E-2</v>
      </c>
      <c r="AK293" s="38">
        <f t="shared" si="521"/>
        <v>3.2420091324200914E-2</v>
      </c>
      <c r="AL293" s="38">
        <f t="shared" si="522"/>
        <v>0.14931506849315068</v>
      </c>
      <c r="AM293" s="38">
        <f t="shared" si="523"/>
        <v>5.9360730593607308E-3</v>
      </c>
      <c r="AN293" s="38">
        <f t="shared" si="524"/>
        <v>1.5890410958904109</v>
      </c>
      <c r="AO293" s="27">
        <v>6</v>
      </c>
      <c r="AP293" s="27">
        <v>1</v>
      </c>
      <c r="AQ293" s="27">
        <v>0</v>
      </c>
      <c r="AR293" s="27">
        <v>0</v>
      </c>
      <c r="AS293" s="27">
        <v>0</v>
      </c>
      <c r="AT293" s="27">
        <v>0</v>
      </c>
      <c r="AU293" s="27">
        <v>0</v>
      </c>
      <c r="AV293" s="27">
        <v>0</v>
      </c>
      <c r="AW293" s="27">
        <v>1</v>
      </c>
      <c r="AX293" s="27">
        <v>1</v>
      </c>
      <c r="AY293" s="38">
        <v>6</v>
      </c>
      <c r="AZ293" s="26">
        <v>0</v>
      </c>
      <c r="BA293" s="27">
        <v>0</v>
      </c>
      <c r="BB293" s="27">
        <v>0</v>
      </c>
      <c r="BC293" s="27">
        <v>1</v>
      </c>
      <c r="BD293" s="27">
        <v>1</v>
      </c>
      <c r="BE293" s="27">
        <v>0</v>
      </c>
      <c r="BF293" s="27">
        <v>0</v>
      </c>
      <c r="BG293" s="27">
        <v>0</v>
      </c>
      <c r="BH293" s="27">
        <v>0</v>
      </c>
      <c r="BI293" s="26">
        <v>0</v>
      </c>
      <c r="BJ293" s="27">
        <v>0</v>
      </c>
      <c r="BK293" s="37">
        <v>2</v>
      </c>
      <c r="BL293" s="27" t="s">
        <v>1129</v>
      </c>
      <c r="BM293" s="37">
        <v>1.67</v>
      </c>
    </row>
    <row r="294" spans="1:65" s="28" customFormat="1" ht="25.05" customHeight="1" x14ac:dyDescent="0.3">
      <c r="A294" s="28" t="s">
        <v>17</v>
      </c>
      <c r="B294" s="28">
        <v>13</v>
      </c>
      <c r="C294" s="40">
        <v>44503</v>
      </c>
      <c r="D294" s="41">
        <v>0.25</v>
      </c>
      <c r="E294" s="27">
        <v>75</v>
      </c>
      <c r="F294" s="28">
        <v>0</v>
      </c>
      <c r="G294" s="28">
        <v>0</v>
      </c>
      <c r="H294" s="28">
        <v>0</v>
      </c>
      <c r="I294" s="28">
        <v>0</v>
      </c>
      <c r="J294" s="43"/>
      <c r="K294" s="43"/>
      <c r="L294" s="42"/>
      <c r="M294" s="42"/>
      <c r="N294" s="42"/>
      <c r="O294" s="42"/>
      <c r="P294" s="42"/>
      <c r="Q294" s="42"/>
      <c r="R294" s="42"/>
      <c r="S294" s="42"/>
      <c r="T294" s="42"/>
      <c r="U294" s="42"/>
      <c r="V294" s="42"/>
      <c r="W294" s="42"/>
      <c r="X294" s="42"/>
      <c r="Y294" s="42"/>
      <c r="Z294" s="28" t="s">
        <v>1477</v>
      </c>
      <c r="AA294" s="28" t="s">
        <v>1481</v>
      </c>
      <c r="AB294" s="38">
        <f>220+140+180+200+60+70+340+320</f>
        <v>1530</v>
      </c>
      <c r="AC294" s="38">
        <f>5+12+6+2+4+5+30+26</f>
        <v>90</v>
      </c>
      <c r="AD294" s="38">
        <f>2+7+3+0+3+3+4+3</f>
        <v>25</v>
      </c>
      <c r="AE294" s="38">
        <f>6+10+0+8+5+4+12+12</f>
        <v>57</v>
      </c>
      <c r="AF294" s="38">
        <f>38+0+27+38+1+0+10+16</f>
        <v>130</v>
      </c>
      <c r="AG294" s="38">
        <f>4+0+0+4+0+0+4+6</f>
        <v>18</v>
      </c>
      <c r="AH294" s="38">
        <f>680+70+0+400+140+105+170+270</f>
        <v>1835</v>
      </c>
      <c r="AI294" s="6">
        <f t="shared" si="519"/>
        <v>5.8823529411764705E-2</v>
      </c>
      <c r="AJ294" s="6">
        <f t="shared" si="520"/>
        <v>1.6339869281045753E-2</v>
      </c>
      <c r="AK294" s="6">
        <f t="shared" si="521"/>
        <v>3.7254901960784313E-2</v>
      </c>
      <c r="AL294" s="6">
        <f t="shared" si="522"/>
        <v>8.4967320261437912E-2</v>
      </c>
      <c r="AM294" s="6">
        <f t="shared" si="523"/>
        <v>1.1764705882352941E-2</v>
      </c>
      <c r="AN294" s="6">
        <f t="shared" si="524"/>
        <v>1.1993464052287581</v>
      </c>
      <c r="AO294" s="27">
        <v>7</v>
      </c>
      <c r="AP294" s="27">
        <v>1</v>
      </c>
      <c r="AQ294" s="27">
        <v>0</v>
      </c>
      <c r="AR294" s="28">
        <v>0</v>
      </c>
      <c r="AS294" s="28">
        <v>0</v>
      </c>
      <c r="AT294" s="28">
        <v>0</v>
      </c>
      <c r="AU294" s="27">
        <v>0</v>
      </c>
      <c r="AV294" s="28">
        <v>0</v>
      </c>
      <c r="AW294" s="28">
        <v>0</v>
      </c>
      <c r="AX294" s="28">
        <v>1</v>
      </c>
      <c r="AY294" s="38">
        <v>7</v>
      </c>
      <c r="AZ294" s="20">
        <v>0</v>
      </c>
      <c r="BA294" s="28">
        <v>1</v>
      </c>
      <c r="BB294" s="7">
        <v>0</v>
      </c>
      <c r="BC294" s="20">
        <v>1</v>
      </c>
      <c r="BD294" s="20">
        <v>1</v>
      </c>
      <c r="BE294" s="20">
        <v>0</v>
      </c>
      <c r="BF294" s="7">
        <v>0</v>
      </c>
      <c r="BG294" s="7">
        <v>0</v>
      </c>
      <c r="BH294" s="20">
        <v>0</v>
      </c>
      <c r="BI294" s="20">
        <v>0</v>
      </c>
      <c r="BJ294" s="7">
        <v>0</v>
      </c>
      <c r="BK294" s="38">
        <v>0</v>
      </c>
      <c r="BL294" s="28">
        <v>0</v>
      </c>
      <c r="BM294" s="38">
        <v>1.67</v>
      </c>
    </row>
    <row r="295" spans="1:65" s="28" customFormat="1" ht="25.05" customHeight="1" x14ac:dyDescent="0.3">
      <c r="A295" s="28" t="s">
        <v>18</v>
      </c>
      <c r="B295" s="28">
        <v>14</v>
      </c>
      <c r="C295" s="40">
        <v>44504</v>
      </c>
      <c r="D295" s="41">
        <v>0.25</v>
      </c>
      <c r="E295" s="27">
        <v>52</v>
      </c>
      <c r="F295" s="28">
        <v>0</v>
      </c>
      <c r="G295" s="28">
        <v>0</v>
      </c>
      <c r="H295" s="28">
        <v>0</v>
      </c>
      <c r="I295" s="28">
        <v>0</v>
      </c>
      <c r="J295" s="43"/>
      <c r="K295" s="43"/>
      <c r="L295" s="42"/>
      <c r="M295" s="42"/>
      <c r="N295" s="42"/>
      <c r="O295" s="42"/>
      <c r="P295" s="42"/>
      <c r="Q295" s="42"/>
      <c r="R295" s="42"/>
      <c r="S295" s="42"/>
      <c r="T295" s="42"/>
      <c r="U295" s="42"/>
      <c r="V295" s="42"/>
      <c r="W295" s="42"/>
      <c r="X295" s="42"/>
      <c r="Y295" s="42"/>
      <c r="Z295" s="28" t="s">
        <v>1478</v>
      </c>
      <c r="AA295" s="28" t="s">
        <v>1482</v>
      </c>
      <c r="AB295" s="38">
        <f>930+350+240+320+480+60+160</f>
        <v>2540</v>
      </c>
      <c r="AC295" s="38">
        <f>18+25+16+26+0+2+13</f>
        <v>100</v>
      </c>
      <c r="AD295" s="38">
        <f>3+15+10+3+0+1+2</f>
        <v>34</v>
      </c>
      <c r="AE295" s="38">
        <f>27+20+20+12+6+0+6</f>
        <v>91</v>
      </c>
      <c r="AF295" s="38">
        <f>159+0+4+16+114+9+8</f>
        <v>310</v>
      </c>
      <c r="AG295" s="38">
        <f>6+0+0+6+0+0+3</f>
        <v>15</v>
      </c>
      <c r="AH295" s="38">
        <f>2580+525+560+270+120+0+135</f>
        <v>4190</v>
      </c>
      <c r="AI295" s="38">
        <f t="shared" si="519"/>
        <v>3.937007874015748E-2</v>
      </c>
      <c r="AJ295" s="38">
        <f t="shared" si="520"/>
        <v>1.3385826771653543E-2</v>
      </c>
      <c r="AK295" s="38">
        <f t="shared" si="521"/>
        <v>3.582677165354331E-2</v>
      </c>
      <c r="AL295" s="38">
        <f t="shared" si="522"/>
        <v>0.12204724409448819</v>
      </c>
      <c r="AM295" s="38">
        <f t="shared" si="523"/>
        <v>5.905511811023622E-3</v>
      </c>
      <c r="AN295" s="38">
        <f t="shared" si="524"/>
        <v>1.6496062992125984</v>
      </c>
      <c r="AO295" s="27">
        <v>6</v>
      </c>
      <c r="AP295" s="27">
        <v>1</v>
      </c>
      <c r="AQ295" s="27">
        <v>0</v>
      </c>
      <c r="AR295" s="27">
        <v>0</v>
      </c>
      <c r="AS295" s="27">
        <v>0</v>
      </c>
      <c r="AT295" s="27">
        <v>0</v>
      </c>
      <c r="AU295" s="27">
        <v>0</v>
      </c>
      <c r="AV295" s="27">
        <v>0</v>
      </c>
      <c r="AW295" s="28">
        <v>1</v>
      </c>
      <c r="AX295" s="28">
        <v>1</v>
      </c>
      <c r="AY295" s="38">
        <v>4</v>
      </c>
      <c r="AZ295" s="26">
        <v>0</v>
      </c>
      <c r="BA295" s="28">
        <v>0</v>
      </c>
      <c r="BB295" s="27">
        <v>0</v>
      </c>
      <c r="BC295" s="27">
        <v>1</v>
      </c>
      <c r="BD295" s="27">
        <v>1</v>
      </c>
      <c r="BE295" s="27">
        <v>0</v>
      </c>
      <c r="BF295" s="27">
        <v>0</v>
      </c>
      <c r="BG295" s="27">
        <v>0</v>
      </c>
      <c r="BH295" s="27">
        <v>0</v>
      </c>
      <c r="BI295" s="26">
        <v>0</v>
      </c>
      <c r="BJ295" s="27">
        <v>0</v>
      </c>
      <c r="BK295" s="38">
        <v>2</v>
      </c>
      <c r="BL295" s="28" t="s">
        <v>1476</v>
      </c>
      <c r="BM295" s="38">
        <v>1.67</v>
      </c>
    </row>
    <row r="296" spans="1:65" s="25" customFormat="1" ht="25.05" customHeight="1" x14ac:dyDescent="0.3">
      <c r="A296" s="25" t="s">
        <v>137</v>
      </c>
      <c r="B296" s="25">
        <v>15</v>
      </c>
      <c r="C296" s="44">
        <v>44505</v>
      </c>
      <c r="D296" s="45">
        <v>0.25</v>
      </c>
      <c r="E296" s="46">
        <v>52</v>
      </c>
      <c r="F296" s="25">
        <v>0</v>
      </c>
      <c r="G296" s="25">
        <v>0</v>
      </c>
      <c r="H296" s="25">
        <v>0</v>
      </c>
      <c r="I296" s="25">
        <v>0</v>
      </c>
      <c r="L296" s="47"/>
      <c r="M296" s="47"/>
      <c r="N296" s="47"/>
      <c r="O296" s="47"/>
      <c r="P296" s="47"/>
      <c r="Q296" s="47"/>
      <c r="R296" s="47"/>
      <c r="S296" s="47"/>
      <c r="T296" s="48"/>
      <c r="U296" s="48"/>
      <c r="V296" s="48"/>
      <c r="W296" s="48"/>
      <c r="X296" s="48"/>
      <c r="Y296" s="48"/>
      <c r="Z296" s="25" t="s">
        <v>1480</v>
      </c>
      <c r="AA296" s="25" t="s">
        <v>1484</v>
      </c>
      <c r="AB296" s="49">
        <f>400+350+110+180+150+563+120</f>
        <v>1873</v>
      </c>
      <c r="AC296" s="49">
        <f>4+25+3+12+15+23+4</f>
        <v>86</v>
      </c>
      <c r="AD296" s="49">
        <f>0+15+1+8+9+13+2</f>
        <v>48</v>
      </c>
      <c r="AE296" s="49">
        <f>16+20+3+15+3+8+0</f>
        <v>65</v>
      </c>
      <c r="AF296" s="49">
        <f>76+0+19+3+3+86+18</f>
        <v>205</v>
      </c>
      <c r="AG296" s="49">
        <f>8+0+2+0+0+4+0</f>
        <v>14</v>
      </c>
      <c r="AH296" s="49">
        <f>800+525+340+420+158+1800+0</f>
        <v>4043</v>
      </c>
      <c r="AI296" s="6">
        <f t="shared" si="519"/>
        <v>4.591564335290977E-2</v>
      </c>
      <c r="AJ296" s="6">
        <f t="shared" si="520"/>
        <v>2.562733582487987E-2</v>
      </c>
      <c r="AK296" s="6">
        <f t="shared" si="521"/>
        <v>3.4703683929524824E-2</v>
      </c>
      <c r="AL296" s="6">
        <f t="shared" si="522"/>
        <v>0.10945008008542445</v>
      </c>
      <c r="AM296" s="6">
        <f t="shared" si="523"/>
        <v>7.4746396155899626E-3</v>
      </c>
      <c r="AN296" s="6">
        <f t="shared" si="524"/>
        <v>2.1585691404164442</v>
      </c>
      <c r="AO296" s="50">
        <v>6</v>
      </c>
      <c r="AP296" s="50">
        <v>1</v>
      </c>
      <c r="AQ296" s="50">
        <v>0</v>
      </c>
      <c r="AR296" s="51">
        <v>0</v>
      </c>
      <c r="AS296" s="51">
        <v>0</v>
      </c>
      <c r="AT296" s="51">
        <v>0</v>
      </c>
      <c r="AU296" s="50">
        <v>0</v>
      </c>
      <c r="AV296" s="51">
        <v>0</v>
      </c>
      <c r="AW296" s="25">
        <v>1</v>
      </c>
      <c r="AX296" s="25">
        <v>1</v>
      </c>
      <c r="AY296" s="49">
        <v>8</v>
      </c>
      <c r="AZ296" s="25">
        <v>0</v>
      </c>
      <c r="BA296" s="25">
        <v>0</v>
      </c>
      <c r="BB296" s="25">
        <v>0</v>
      </c>
      <c r="BC296" s="25">
        <v>1</v>
      </c>
      <c r="BD296" s="25">
        <v>1</v>
      </c>
      <c r="BE296" s="25">
        <v>0</v>
      </c>
      <c r="BF296" s="25">
        <v>1</v>
      </c>
      <c r="BG296" s="25">
        <v>20</v>
      </c>
      <c r="BH296" s="25">
        <v>0</v>
      </c>
      <c r="BI296" s="25">
        <v>0</v>
      </c>
      <c r="BJ296" s="25">
        <v>0</v>
      </c>
      <c r="BK296" s="47">
        <v>1</v>
      </c>
      <c r="BL296" s="25" t="s">
        <v>1479</v>
      </c>
      <c r="BM296" s="47">
        <v>1.6666666666666667</v>
      </c>
    </row>
    <row r="297" spans="1:65" x14ac:dyDescent="0.3">
      <c r="T297" s="30"/>
      <c r="U297" s="30"/>
      <c r="V297" s="30"/>
      <c r="W297" s="30"/>
      <c r="X297" s="30"/>
      <c r="Y297" s="30"/>
    </row>
    <row r="298" spans="1:65" x14ac:dyDescent="0.3">
      <c r="T298" s="30"/>
      <c r="U298" s="30"/>
      <c r="V298" s="30"/>
      <c r="W298" s="30"/>
      <c r="X298" s="30"/>
      <c r="Y298" s="30"/>
    </row>
    <row r="299" spans="1:65" x14ac:dyDescent="0.3">
      <c r="T299" s="30"/>
      <c r="U299" s="30"/>
      <c r="V299" s="30"/>
      <c r="W299" s="30"/>
      <c r="X299" s="30"/>
      <c r="Y299" s="30"/>
    </row>
    <row r="300" spans="1:65" x14ac:dyDescent="0.3">
      <c r="T300" s="30"/>
      <c r="U300" s="30"/>
      <c r="V300" s="30"/>
      <c r="W300" s="30"/>
      <c r="X300" s="30"/>
      <c r="Y300" s="30"/>
    </row>
    <row r="301" spans="1:65" x14ac:dyDescent="0.3">
      <c r="T301" s="30"/>
      <c r="U301" s="30"/>
      <c r="V301" s="30"/>
      <c r="W301" s="30"/>
      <c r="X301" s="30"/>
      <c r="Y301" s="30"/>
    </row>
    <row r="302" spans="1:65" x14ac:dyDescent="0.3">
      <c r="T302" s="30"/>
      <c r="U302" s="30"/>
      <c r="V302" s="30"/>
      <c r="W302" s="30"/>
      <c r="X302" s="30"/>
      <c r="Y302" s="30"/>
    </row>
    <row r="303" spans="1:65" x14ac:dyDescent="0.3">
      <c r="T303" s="30"/>
      <c r="U303" s="30"/>
      <c r="V303" s="30"/>
      <c r="W303" s="30"/>
      <c r="X303" s="30"/>
      <c r="Y303" s="30"/>
    </row>
    <row r="304" spans="1:65" x14ac:dyDescent="0.3">
      <c r="T304" s="30"/>
      <c r="U304" s="30"/>
      <c r="V304" s="30"/>
      <c r="W304" s="30"/>
      <c r="X304" s="30"/>
      <c r="Y304" s="30"/>
    </row>
    <row r="305" spans="20:25" x14ac:dyDescent="0.3">
      <c r="T305" s="30"/>
      <c r="U305" s="30"/>
      <c r="V305" s="30"/>
      <c r="W305" s="30"/>
      <c r="X305" s="30"/>
      <c r="Y305" s="30"/>
    </row>
    <row r="306" spans="20:25" x14ac:dyDescent="0.3">
      <c r="T306" s="30"/>
      <c r="U306" s="30"/>
      <c r="V306" s="30"/>
      <c r="W306" s="30"/>
      <c r="X306" s="30"/>
      <c r="Y306" s="30"/>
    </row>
    <row r="307" spans="20:25" x14ac:dyDescent="0.3">
      <c r="T307" s="30"/>
      <c r="U307" s="30"/>
      <c r="V307" s="30"/>
      <c r="W307" s="30"/>
      <c r="X307" s="30"/>
      <c r="Y307" s="30"/>
    </row>
    <row r="308" spans="20:25" x14ac:dyDescent="0.3">
      <c r="T308" s="30"/>
      <c r="U308" s="30"/>
      <c r="V308" s="30"/>
      <c r="W308" s="30"/>
      <c r="X308" s="30"/>
      <c r="Y308" s="30"/>
    </row>
    <row r="309" spans="20:25" x14ac:dyDescent="0.3">
      <c r="T309" s="30"/>
      <c r="U309" s="30"/>
      <c r="V309" s="30"/>
      <c r="W309" s="30"/>
      <c r="X309" s="30"/>
      <c r="Y309" s="30"/>
    </row>
    <row r="310" spans="20:25" x14ac:dyDescent="0.3">
      <c r="T310" s="30"/>
      <c r="U310" s="30"/>
      <c r="V310" s="30"/>
      <c r="W310" s="30"/>
      <c r="X310" s="30"/>
      <c r="Y310" s="30"/>
    </row>
    <row r="311" spans="20:25" x14ac:dyDescent="0.3">
      <c r="T311" s="30"/>
      <c r="U311" s="30"/>
      <c r="V311" s="30"/>
      <c r="W311" s="30"/>
      <c r="X311" s="30"/>
      <c r="Y311" s="30"/>
    </row>
    <row r="312" spans="20:25" x14ac:dyDescent="0.3">
      <c r="T312" s="30"/>
      <c r="U312" s="30"/>
      <c r="V312" s="30"/>
      <c r="W312" s="30"/>
      <c r="X312" s="30"/>
      <c r="Y312" s="30"/>
    </row>
    <row r="313" spans="20:25" x14ac:dyDescent="0.3">
      <c r="T313" s="30"/>
      <c r="U313" s="30"/>
      <c r="V313" s="30"/>
      <c r="W313" s="30"/>
      <c r="X313" s="30"/>
      <c r="Y313" s="30"/>
    </row>
    <row r="314" spans="20:25" x14ac:dyDescent="0.3">
      <c r="T314" s="30"/>
      <c r="U314" s="30"/>
      <c r="V314" s="30"/>
      <c r="W314" s="30"/>
      <c r="X314" s="30"/>
      <c r="Y314" s="30"/>
    </row>
    <row r="315" spans="20:25" x14ac:dyDescent="0.3">
      <c r="T315" s="30"/>
      <c r="U315" s="30"/>
      <c r="V315" s="30"/>
      <c r="W315" s="30"/>
      <c r="X315" s="30"/>
      <c r="Y315" s="30"/>
    </row>
    <row r="316" spans="20:25" x14ac:dyDescent="0.3">
      <c r="T316" s="30"/>
      <c r="U316" s="30"/>
      <c r="V316" s="30"/>
      <c r="W316" s="30"/>
      <c r="X316" s="30"/>
      <c r="Y316" s="30"/>
    </row>
    <row r="317" spans="20:25" x14ac:dyDescent="0.3">
      <c r="T317" s="30"/>
      <c r="U317" s="30"/>
      <c r="V317" s="30"/>
      <c r="W317" s="30"/>
      <c r="X317" s="30"/>
      <c r="Y317" s="30"/>
    </row>
    <row r="318" spans="20:25" x14ac:dyDescent="0.3">
      <c r="T318" s="30"/>
      <c r="U318" s="30"/>
      <c r="V318" s="30"/>
      <c r="W318" s="30"/>
      <c r="X318" s="30"/>
      <c r="Y318" s="30"/>
    </row>
    <row r="319" spans="20:25" x14ac:dyDescent="0.3">
      <c r="T319" s="30"/>
      <c r="U319" s="30"/>
      <c r="V319" s="30"/>
      <c r="W319" s="30"/>
      <c r="X319" s="30"/>
      <c r="Y319" s="30"/>
    </row>
    <row r="320" spans="20:25" x14ac:dyDescent="0.3">
      <c r="T320" s="30"/>
      <c r="U320" s="30"/>
      <c r="V320" s="30"/>
      <c r="W320" s="30"/>
      <c r="X320" s="30"/>
      <c r="Y320" s="30"/>
    </row>
    <row r="321" spans="20:25" x14ac:dyDescent="0.3">
      <c r="T321" s="30"/>
      <c r="U321" s="30"/>
      <c r="V321" s="30"/>
      <c r="W321" s="30"/>
      <c r="X321" s="30"/>
      <c r="Y321" s="30"/>
    </row>
    <row r="322" spans="20:25" x14ac:dyDescent="0.3">
      <c r="T322" s="30"/>
      <c r="U322" s="30"/>
      <c r="V322" s="30"/>
      <c r="W322" s="30"/>
      <c r="X322" s="30"/>
      <c r="Y322" s="30"/>
    </row>
    <row r="323" spans="20:25" x14ac:dyDescent="0.3">
      <c r="T323" s="30"/>
      <c r="U323" s="30"/>
      <c r="V323" s="30"/>
      <c r="W323" s="30"/>
      <c r="X323" s="30"/>
      <c r="Y323" s="30"/>
    </row>
    <row r="324" spans="20:25" x14ac:dyDescent="0.3">
      <c r="T324" s="30"/>
      <c r="U324" s="30"/>
      <c r="V324" s="30"/>
      <c r="W324" s="30"/>
      <c r="X324" s="30"/>
      <c r="Y324" s="30"/>
    </row>
    <row r="325" spans="20:25" x14ac:dyDescent="0.3">
      <c r="T325" s="30"/>
      <c r="U325" s="30"/>
      <c r="V325" s="30"/>
      <c r="W325" s="30"/>
      <c r="X325" s="30"/>
      <c r="Y325" s="30"/>
    </row>
    <row r="326" spans="20:25" x14ac:dyDescent="0.3">
      <c r="T326" s="30"/>
      <c r="U326" s="30"/>
      <c r="V326" s="30"/>
      <c r="W326" s="30"/>
      <c r="X326" s="30"/>
      <c r="Y326" s="30"/>
    </row>
    <row r="327" spans="20:25" x14ac:dyDescent="0.3">
      <c r="T327" s="30"/>
      <c r="U327" s="30"/>
      <c r="V327" s="30"/>
      <c r="W327" s="30"/>
      <c r="X327" s="30"/>
      <c r="Y327" s="30"/>
    </row>
    <row r="328" spans="20:25" x14ac:dyDescent="0.3">
      <c r="T328" s="30"/>
      <c r="U328" s="30"/>
      <c r="V328" s="30"/>
      <c r="W328" s="30"/>
      <c r="X328" s="30"/>
      <c r="Y328" s="30"/>
    </row>
    <row r="329" spans="20:25" x14ac:dyDescent="0.3">
      <c r="T329" s="30"/>
      <c r="U329" s="30"/>
      <c r="V329" s="30"/>
      <c r="W329" s="30"/>
      <c r="X329" s="30"/>
      <c r="Y329" s="30"/>
    </row>
    <row r="330" spans="20:25" x14ac:dyDescent="0.3">
      <c r="T330" s="30"/>
      <c r="U330" s="30"/>
      <c r="V330" s="30"/>
      <c r="W330" s="30"/>
      <c r="X330" s="30"/>
      <c r="Y330" s="30"/>
    </row>
    <row r="331" spans="20:25" x14ac:dyDescent="0.3">
      <c r="T331" s="30"/>
      <c r="U331" s="30"/>
      <c r="V331" s="30"/>
      <c r="W331" s="30"/>
      <c r="X331" s="30"/>
      <c r="Y331" s="30"/>
    </row>
    <row r="332" spans="20:25" x14ac:dyDescent="0.3">
      <c r="T332" s="30"/>
      <c r="U332" s="30"/>
      <c r="V332" s="30"/>
      <c r="W332" s="30"/>
      <c r="X332" s="30"/>
      <c r="Y332" s="30"/>
    </row>
    <row r="333" spans="20:25" x14ac:dyDescent="0.3">
      <c r="T333" s="30"/>
      <c r="U333" s="30"/>
      <c r="V333" s="30"/>
      <c r="W333" s="30"/>
      <c r="X333" s="30"/>
      <c r="Y333" s="30"/>
    </row>
    <row r="334" spans="20:25" x14ac:dyDescent="0.3">
      <c r="T334" s="30"/>
      <c r="U334" s="30"/>
      <c r="V334" s="30"/>
      <c r="W334" s="30"/>
      <c r="X334" s="30"/>
      <c r="Y334" s="30"/>
    </row>
    <row r="335" spans="20:25" x14ac:dyDescent="0.3">
      <c r="T335" s="30"/>
      <c r="U335" s="30"/>
      <c r="V335" s="30"/>
      <c r="W335" s="30"/>
      <c r="X335" s="30"/>
      <c r="Y335" s="30"/>
    </row>
    <row r="336" spans="20:25" x14ac:dyDescent="0.3">
      <c r="T336" s="30"/>
      <c r="U336" s="30"/>
      <c r="V336" s="30"/>
      <c r="W336" s="30"/>
      <c r="X336" s="30"/>
      <c r="Y336" s="30"/>
    </row>
    <row r="337" spans="20:25" x14ac:dyDescent="0.3">
      <c r="T337" s="30"/>
      <c r="U337" s="30"/>
      <c r="V337" s="30"/>
      <c r="W337" s="30"/>
      <c r="X337" s="30"/>
      <c r="Y337" s="30"/>
    </row>
    <row r="338" spans="20:25" x14ac:dyDescent="0.3">
      <c r="T338" s="30"/>
      <c r="U338" s="30"/>
      <c r="V338" s="30"/>
      <c r="W338" s="30"/>
      <c r="X338" s="30"/>
      <c r="Y338" s="30"/>
    </row>
    <row r="339" spans="20:25" x14ac:dyDescent="0.3">
      <c r="T339" s="30"/>
      <c r="U339" s="30"/>
      <c r="V339" s="30"/>
      <c r="W339" s="30"/>
      <c r="X339" s="30"/>
      <c r="Y339" s="30"/>
    </row>
    <row r="340" spans="20:25" x14ac:dyDescent="0.3">
      <c r="T340" s="30"/>
      <c r="U340" s="30"/>
      <c r="V340" s="30"/>
      <c r="W340" s="30"/>
      <c r="X340" s="30"/>
      <c r="Y340" s="30"/>
    </row>
    <row r="341" spans="20:25" x14ac:dyDescent="0.3">
      <c r="T341" s="30"/>
      <c r="U341" s="30"/>
      <c r="V341" s="30"/>
      <c r="W341" s="30"/>
      <c r="X341" s="30"/>
      <c r="Y341" s="30"/>
    </row>
    <row r="342" spans="20:25" x14ac:dyDescent="0.3">
      <c r="T342" s="30"/>
      <c r="U342" s="30"/>
      <c r="V342" s="30"/>
      <c r="W342" s="30"/>
      <c r="X342" s="30"/>
      <c r="Y342" s="30"/>
    </row>
    <row r="343" spans="20:25" x14ac:dyDescent="0.3">
      <c r="T343" s="30"/>
      <c r="U343" s="30"/>
      <c r="V343" s="30"/>
      <c r="W343" s="30"/>
      <c r="X343" s="30"/>
      <c r="Y343" s="30"/>
    </row>
    <row r="344" spans="20:25" x14ac:dyDescent="0.3">
      <c r="T344" s="30"/>
      <c r="U344" s="30"/>
      <c r="V344" s="30"/>
      <c r="W344" s="30"/>
      <c r="X344" s="30"/>
      <c r="Y344" s="30"/>
    </row>
    <row r="345" spans="20:25" x14ac:dyDescent="0.3">
      <c r="T345" s="30"/>
      <c r="U345" s="30"/>
      <c r="V345" s="30"/>
      <c r="W345" s="30"/>
      <c r="X345" s="30"/>
      <c r="Y345" s="30"/>
    </row>
    <row r="346" spans="20:25" x14ac:dyDescent="0.3">
      <c r="T346" s="30"/>
      <c r="U346" s="30"/>
      <c r="V346" s="30"/>
      <c r="W346" s="30"/>
      <c r="X346" s="30"/>
      <c r="Y346" s="30"/>
    </row>
    <row r="347" spans="20:25" x14ac:dyDescent="0.3">
      <c r="T347" s="30"/>
      <c r="U347" s="30"/>
      <c r="V347" s="30"/>
      <c r="W347" s="30"/>
      <c r="X347" s="30"/>
      <c r="Y347" s="30"/>
    </row>
    <row r="348" spans="20:25" x14ac:dyDescent="0.3">
      <c r="T348" s="30"/>
      <c r="U348" s="30"/>
      <c r="V348" s="30"/>
      <c r="W348" s="30"/>
      <c r="X348" s="30"/>
      <c r="Y348" s="30"/>
    </row>
    <row r="349" spans="20:25" x14ac:dyDescent="0.3">
      <c r="T349" s="30"/>
      <c r="U349" s="30"/>
      <c r="V349" s="30"/>
      <c r="W349" s="30"/>
      <c r="X349" s="30"/>
      <c r="Y349" s="30"/>
    </row>
    <row r="350" spans="20:25" x14ac:dyDescent="0.3">
      <c r="T350" s="30"/>
      <c r="U350" s="30"/>
      <c r="V350" s="30"/>
      <c r="W350" s="30"/>
      <c r="X350" s="30"/>
      <c r="Y350" s="30"/>
    </row>
    <row r="351" spans="20:25" x14ac:dyDescent="0.3">
      <c r="T351" s="30"/>
      <c r="U351" s="30"/>
      <c r="V351" s="30"/>
      <c r="W351" s="30"/>
      <c r="X351" s="30"/>
      <c r="Y351" s="30"/>
    </row>
    <row r="352" spans="20:25" x14ac:dyDescent="0.3">
      <c r="T352" s="30"/>
      <c r="U352" s="30"/>
      <c r="V352" s="30"/>
      <c r="W352" s="30"/>
      <c r="X352" s="30"/>
      <c r="Y352" s="30"/>
    </row>
    <row r="353" spans="20:25" x14ac:dyDescent="0.3">
      <c r="T353" s="30"/>
      <c r="U353" s="30"/>
      <c r="V353" s="30"/>
      <c r="W353" s="30"/>
      <c r="X353" s="30"/>
      <c r="Y353" s="30"/>
    </row>
    <row r="354" spans="20:25" x14ac:dyDescent="0.3">
      <c r="T354" s="30"/>
      <c r="U354" s="30"/>
      <c r="V354" s="30"/>
      <c r="W354" s="30"/>
      <c r="X354" s="30"/>
      <c r="Y354" s="30"/>
    </row>
    <row r="355" spans="20:25" x14ac:dyDescent="0.3">
      <c r="T355" s="30"/>
      <c r="U355" s="30"/>
      <c r="V355" s="30"/>
      <c r="W355" s="30"/>
      <c r="X355" s="30"/>
      <c r="Y355" s="30"/>
    </row>
    <row r="356" spans="20:25" x14ac:dyDescent="0.3">
      <c r="T356" s="30"/>
      <c r="U356" s="30"/>
      <c r="V356" s="30"/>
      <c r="W356" s="30"/>
      <c r="X356" s="30"/>
      <c r="Y356" s="30"/>
    </row>
    <row r="357" spans="20:25" x14ac:dyDescent="0.3">
      <c r="T357" s="30"/>
      <c r="U357" s="30"/>
      <c r="V357" s="30"/>
      <c r="W357" s="30"/>
      <c r="X357" s="30"/>
      <c r="Y357" s="30"/>
    </row>
    <row r="358" spans="20:25" x14ac:dyDescent="0.3">
      <c r="T358" s="30"/>
      <c r="U358" s="30"/>
      <c r="V358" s="30"/>
      <c r="W358" s="30"/>
      <c r="X358" s="30"/>
      <c r="Y358" s="30"/>
    </row>
    <row r="359" spans="20:25" x14ac:dyDescent="0.3">
      <c r="T359" s="30"/>
      <c r="U359" s="30"/>
      <c r="V359" s="30"/>
      <c r="W359" s="30"/>
      <c r="X359" s="30"/>
      <c r="Y359" s="30"/>
    </row>
    <row r="360" spans="20:25" x14ac:dyDescent="0.3">
      <c r="T360" s="30"/>
      <c r="U360" s="30"/>
      <c r="V360" s="30"/>
      <c r="W360" s="30"/>
      <c r="X360" s="30"/>
      <c r="Y360" s="30"/>
    </row>
    <row r="361" spans="20:25" x14ac:dyDescent="0.3">
      <c r="T361" s="30"/>
      <c r="U361" s="30"/>
      <c r="V361" s="30"/>
      <c r="W361" s="30"/>
      <c r="X361" s="30"/>
      <c r="Y361" s="30"/>
    </row>
    <row r="362" spans="20:25" x14ac:dyDescent="0.3">
      <c r="T362" s="30"/>
      <c r="U362" s="30"/>
      <c r="V362" s="30"/>
      <c r="W362" s="30"/>
      <c r="X362" s="30"/>
      <c r="Y362" s="30"/>
    </row>
    <row r="363" spans="20:25" x14ac:dyDescent="0.3">
      <c r="T363" s="30"/>
      <c r="U363" s="30"/>
      <c r="V363" s="30"/>
      <c r="W363" s="30"/>
      <c r="X363" s="30"/>
      <c r="Y363" s="30"/>
    </row>
    <row r="364" spans="20:25" x14ac:dyDescent="0.3">
      <c r="T364" s="30"/>
      <c r="U364" s="30"/>
      <c r="V364" s="30"/>
      <c r="W364" s="30"/>
      <c r="X364" s="30"/>
      <c r="Y364" s="30"/>
    </row>
    <row r="365" spans="20:25" x14ac:dyDescent="0.3">
      <c r="T365" s="30"/>
      <c r="U365" s="30"/>
      <c r="V365" s="30"/>
      <c r="W365" s="30"/>
      <c r="X365" s="30"/>
      <c r="Y365" s="30"/>
    </row>
    <row r="366" spans="20:25" x14ac:dyDescent="0.3">
      <c r="T366" s="30"/>
      <c r="U366" s="30"/>
      <c r="V366" s="30"/>
      <c r="W366" s="30"/>
      <c r="X366" s="30"/>
      <c r="Y366" s="30"/>
    </row>
    <row r="367" spans="20:25" x14ac:dyDescent="0.3">
      <c r="T367" s="30"/>
      <c r="U367" s="30"/>
      <c r="V367" s="30"/>
      <c r="W367" s="30"/>
      <c r="X367" s="30"/>
      <c r="Y367" s="30"/>
    </row>
    <row r="368" spans="20:25" x14ac:dyDescent="0.3">
      <c r="T368" s="30"/>
      <c r="U368" s="30"/>
      <c r="V368" s="30"/>
      <c r="W368" s="30"/>
      <c r="X368" s="30"/>
      <c r="Y368" s="30"/>
    </row>
    <row r="369" spans="20:25" x14ac:dyDescent="0.3">
      <c r="T369" s="30"/>
      <c r="U369" s="30"/>
      <c r="V369" s="30"/>
      <c r="W369" s="30"/>
      <c r="X369" s="30"/>
      <c r="Y369" s="30"/>
    </row>
    <row r="370" spans="20:25" x14ac:dyDescent="0.3">
      <c r="T370" s="30"/>
      <c r="U370" s="30"/>
      <c r="V370" s="30"/>
      <c r="W370" s="30"/>
      <c r="X370" s="30"/>
      <c r="Y370" s="30"/>
    </row>
    <row r="371" spans="20:25" x14ac:dyDescent="0.3">
      <c r="T371" s="30"/>
      <c r="U371" s="30"/>
      <c r="V371" s="30"/>
      <c r="W371" s="30"/>
      <c r="X371" s="30"/>
      <c r="Y371" s="30"/>
    </row>
    <row r="372" spans="20:25" x14ac:dyDescent="0.3">
      <c r="T372" s="30"/>
      <c r="U372" s="30"/>
      <c r="V372" s="30"/>
      <c r="W372" s="30"/>
      <c r="X372" s="30"/>
      <c r="Y372" s="30"/>
    </row>
    <row r="373" spans="20:25" x14ac:dyDescent="0.3">
      <c r="T373" s="30"/>
      <c r="U373" s="30"/>
      <c r="V373" s="30"/>
      <c r="W373" s="30"/>
      <c r="X373" s="30"/>
      <c r="Y373" s="30"/>
    </row>
    <row r="374" spans="20:25" x14ac:dyDescent="0.3">
      <c r="T374" s="30"/>
      <c r="U374" s="30"/>
      <c r="V374" s="30"/>
      <c r="W374" s="30"/>
      <c r="X374" s="30"/>
      <c r="Y374" s="30"/>
    </row>
    <row r="375" spans="20:25" x14ac:dyDescent="0.3">
      <c r="T375" s="30"/>
      <c r="U375" s="30"/>
      <c r="V375" s="30"/>
      <c r="W375" s="30"/>
      <c r="X375" s="30"/>
      <c r="Y375" s="30"/>
    </row>
    <row r="376" spans="20:25" x14ac:dyDescent="0.3">
      <c r="T376" s="30"/>
      <c r="U376" s="30"/>
      <c r="V376" s="30"/>
      <c r="W376" s="30"/>
      <c r="X376" s="30"/>
      <c r="Y376" s="30"/>
    </row>
    <row r="377" spans="20:25" x14ac:dyDescent="0.3">
      <c r="T377" s="30"/>
      <c r="U377" s="30"/>
      <c r="V377" s="30"/>
      <c r="W377" s="30"/>
      <c r="X377" s="30"/>
      <c r="Y377" s="30"/>
    </row>
    <row r="378" spans="20:25" x14ac:dyDescent="0.3">
      <c r="T378" s="30"/>
      <c r="U378" s="30"/>
      <c r="V378" s="30"/>
      <c r="W378" s="30"/>
      <c r="X378" s="30"/>
      <c r="Y378" s="30"/>
    </row>
    <row r="379" spans="20:25" x14ac:dyDescent="0.3">
      <c r="T379" s="30"/>
      <c r="U379" s="30"/>
      <c r="V379" s="30"/>
      <c r="W379" s="30"/>
      <c r="X379" s="30"/>
      <c r="Y379" s="30"/>
    </row>
    <row r="380" spans="20:25" x14ac:dyDescent="0.3">
      <c r="T380" s="30"/>
      <c r="U380" s="30"/>
      <c r="V380" s="30"/>
      <c r="W380" s="30"/>
      <c r="X380" s="30"/>
      <c r="Y380" s="30"/>
    </row>
    <row r="381" spans="20:25" x14ac:dyDescent="0.3">
      <c r="T381" s="30"/>
      <c r="U381" s="30"/>
      <c r="V381" s="30"/>
      <c r="W381" s="30"/>
      <c r="X381" s="30"/>
      <c r="Y381" s="30"/>
    </row>
    <row r="382" spans="20:25" x14ac:dyDescent="0.3">
      <c r="T382" s="30"/>
      <c r="U382" s="30"/>
      <c r="V382" s="30"/>
      <c r="W382" s="30"/>
      <c r="X382" s="30"/>
      <c r="Y382" s="30"/>
    </row>
    <row r="383" spans="20:25" x14ac:dyDescent="0.3">
      <c r="T383" s="30"/>
      <c r="U383" s="30"/>
      <c r="V383" s="30"/>
      <c r="W383" s="30"/>
      <c r="X383" s="30"/>
      <c r="Y383" s="30"/>
    </row>
    <row r="384" spans="20:25" x14ac:dyDescent="0.3">
      <c r="T384" s="30"/>
      <c r="U384" s="30"/>
      <c r="V384" s="30"/>
      <c r="W384" s="30"/>
      <c r="X384" s="30"/>
      <c r="Y384" s="30"/>
    </row>
    <row r="385" spans="20:25" x14ac:dyDescent="0.3">
      <c r="T385" s="30"/>
      <c r="U385" s="30"/>
      <c r="V385" s="30"/>
      <c r="W385" s="30"/>
      <c r="X385" s="30"/>
      <c r="Y385" s="30"/>
    </row>
    <row r="386" spans="20:25" x14ac:dyDescent="0.3">
      <c r="T386" s="30"/>
      <c r="U386" s="30"/>
      <c r="V386" s="30"/>
      <c r="W386" s="30"/>
      <c r="X386" s="30"/>
      <c r="Y386" s="30"/>
    </row>
    <row r="387" spans="20:25" x14ac:dyDescent="0.3">
      <c r="T387" s="30"/>
      <c r="U387" s="30"/>
      <c r="V387" s="30"/>
      <c r="W387" s="30"/>
      <c r="X387" s="30"/>
      <c r="Y387" s="30"/>
    </row>
    <row r="388" spans="20:25" x14ac:dyDescent="0.3">
      <c r="T388" s="30"/>
      <c r="U388" s="30"/>
      <c r="V388" s="30"/>
      <c r="W388" s="30"/>
      <c r="X388" s="30"/>
      <c r="Y388" s="30"/>
    </row>
    <row r="389" spans="20:25" x14ac:dyDescent="0.3">
      <c r="T389" s="30"/>
      <c r="U389" s="30"/>
      <c r="V389" s="30"/>
      <c r="W389" s="30"/>
      <c r="X389" s="30"/>
      <c r="Y389" s="30"/>
    </row>
    <row r="390" spans="20:25" x14ac:dyDescent="0.3">
      <c r="T390" s="30"/>
      <c r="U390" s="30"/>
      <c r="V390" s="30"/>
      <c r="W390" s="30"/>
      <c r="X390" s="30"/>
      <c r="Y390" s="30"/>
    </row>
    <row r="391" spans="20:25" x14ac:dyDescent="0.3">
      <c r="T391" s="30"/>
      <c r="U391" s="30"/>
      <c r="V391" s="30"/>
      <c r="W391" s="30"/>
      <c r="X391" s="30"/>
      <c r="Y391" s="30"/>
    </row>
    <row r="392" spans="20:25" x14ac:dyDescent="0.3">
      <c r="T392" s="30"/>
      <c r="U392" s="30"/>
      <c r="V392" s="30"/>
      <c r="W392" s="30"/>
      <c r="X392" s="30"/>
      <c r="Y392" s="30"/>
    </row>
    <row r="393" spans="20:25" x14ac:dyDescent="0.3">
      <c r="T393" s="30"/>
      <c r="U393" s="30"/>
      <c r="V393" s="30"/>
      <c r="W393" s="30"/>
      <c r="X393" s="30"/>
      <c r="Y393" s="30"/>
    </row>
    <row r="394" spans="20:25" x14ac:dyDescent="0.3">
      <c r="T394" s="30"/>
      <c r="U394" s="30"/>
      <c r="V394" s="30"/>
      <c r="W394" s="30"/>
      <c r="X394" s="30"/>
      <c r="Y394" s="30"/>
    </row>
    <row r="395" spans="20:25" x14ac:dyDescent="0.3">
      <c r="T395" s="30"/>
      <c r="U395" s="30"/>
      <c r="V395" s="30"/>
      <c r="W395" s="30"/>
      <c r="X395" s="30"/>
      <c r="Y395" s="30"/>
    </row>
    <row r="396" spans="20:25" x14ac:dyDescent="0.3">
      <c r="T396" s="30"/>
      <c r="U396" s="30"/>
      <c r="V396" s="30"/>
      <c r="W396" s="30"/>
      <c r="X396" s="30"/>
      <c r="Y396" s="30"/>
    </row>
    <row r="397" spans="20:25" x14ac:dyDescent="0.3">
      <c r="T397" s="30"/>
      <c r="U397" s="30"/>
      <c r="V397" s="30"/>
      <c r="W397" s="30"/>
      <c r="X397" s="30"/>
      <c r="Y397" s="30"/>
    </row>
    <row r="398" spans="20:25" x14ac:dyDescent="0.3">
      <c r="T398" s="30"/>
      <c r="U398" s="30"/>
      <c r="V398" s="30"/>
      <c r="W398" s="30"/>
      <c r="X398" s="30"/>
      <c r="Y398" s="30"/>
    </row>
    <row r="399" spans="20:25" x14ac:dyDescent="0.3">
      <c r="T399" s="30"/>
      <c r="U399" s="30"/>
      <c r="V399" s="30"/>
      <c r="W399" s="30"/>
      <c r="X399" s="30"/>
      <c r="Y399" s="30"/>
    </row>
    <row r="400" spans="20:25" x14ac:dyDescent="0.3">
      <c r="T400" s="30"/>
      <c r="U400" s="30"/>
      <c r="V400" s="30"/>
      <c r="W400" s="30"/>
      <c r="X400" s="30"/>
      <c r="Y400" s="30"/>
    </row>
    <row r="401" spans="20:25" x14ac:dyDescent="0.3">
      <c r="T401" s="30"/>
      <c r="U401" s="30"/>
      <c r="V401" s="30"/>
      <c r="W401" s="30"/>
      <c r="X401" s="30"/>
      <c r="Y401" s="30"/>
    </row>
    <row r="402" spans="20:25" x14ac:dyDescent="0.3">
      <c r="T402" s="30"/>
      <c r="U402" s="30"/>
      <c r="V402" s="30"/>
      <c r="W402" s="30"/>
      <c r="X402" s="30"/>
      <c r="Y402" s="30"/>
    </row>
    <row r="403" spans="20:25" x14ac:dyDescent="0.3">
      <c r="T403" s="30"/>
      <c r="U403" s="30"/>
      <c r="V403" s="30"/>
      <c r="W403" s="30"/>
      <c r="X403" s="30"/>
      <c r="Y403" s="30"/>
    </row>
    <row r="404" spans="20:25" x14ac:dyDescent="0.3">
      <c r="T404" s="30"/>
      <c r="U404" s="30"/>
      <c r="V404" s="30"/>
      <c r="W404" s="30"/>
      <c r="X404" s="30"/>
      <c r="Y404" s="30"/>
    </row>
    <row r="405" spans="20:25" x14ac:dyDescent="0.3">
      <c r="T405" s="30"/>
      <c r="U405" s="30"/>
      <c r="V405" s="30"/>
      <c r="W405" s="30"/>
      <c r="X405" s="30"/>
      <c r="Y405" s="30"/>
    </row>
    <row r="406" spans="20:25" x14ac:dyDescent="0.3">
      <c r="T406" s="30"/>
      <c r="U406" s="30"/>
      <c r="V406" s="30"/>
      <c r="W406" s="30"/>
      <c r="X406" s="30"/>
      <c r="Y406" s="30"/>
    </row>
    <row r="407" spans="20:25" x14ac:dyDescent="0.3">
      <c r="T407" s="30"/>
      <c r="U407" s="30"/>
      <c r="V407" s="30"/>
      <c r="W407" s="30"/>
      <c r="X407" s="30"/>
      <c r="Y407" s="30"/>
    </row>
    <row r="408" spans="20:25" x14ac:dyDescent="0.3">
      <c r="T408" s="30"/>
      <c r="U408" s="30"/>
      <c r="V408" s="30"/>
      <c r="W408" s="30"/>
      <c r="X408" s="30"/>
      <c r="Y408" s="30"/>
    </row>
    <row r="409" spans="20:25" x14ac:dyDescent="0.3">
      <c r="T409" s="30"/>
      <c r="U409" s="30"/>
      <c r="V409" s="30"/>
      <c r="W409" s="30"/>
      <c r="X409" s="30"/>
      <c r="Y409" s="30"/>
    </row>
    <row r="410" spans="20:25" x14ac:dyDescent="0.3">
      <c r="T410" s="30"/>
      <c r="U410" s="30"/>
      <c r="V410" s="30"/>
      <c r="W410" s="30"/>
      <c r="X410" s="30"/>
      <c r="Y410" s="30"/>
    </row>
    <row r="411" spans="20:25" x14ac:dyDescent="0.3">
      <c r="T411" s="30"/>
      <c r="U411" s="30"/>
      <c r="V411" s="30"/>
      <c r="W411" s="30"/>
      <c r="X411" s="30"/>
      <c r="Y411" s="30"/>
    </row>
    <row r="412" spans="20:25" x14ac:dyDescent="0.3">
      <c r="T412" s="30"/>
      <c r="U412" s="30"/>
      <c r="V412" s="30"/>
      <c r="W412" s="30"/>
      <c r="X412" s="30"/>
      <c r="Y412" s="30"/>
    </row>
    <row r="413" spans="20:25" x14ac:dyDescent="0.3">
      <c r="T413" s="30"/>
      <c r="U413" s="30"/>
      <c r="V413" s="30"/>
      <c r="W413" s="30"/>
      <c r="X413" s="30"/>
      <c r="Y413" s="30"/>
    </row>
    <row r="414" spans="20:25" x14ac:dyDescent="0.3">
      <c r="T414" s="30"/>
      <c r="U414" s="30"/>
      <c r="V414" s="30"/>
      <c r="W414" s="30"/>
      <c r="X414" s="30"/>
      <c r="Y414" s="30"/>
    </row>
    <row r="415" spans="20:25" x14ac:dyDescent="0.3">
      <c r="T415" s="30"/>
      <c r="U415" s="30"/>
      <c r="V415" s="30"/>
      <c r="W415" s="30"/>
      <c r="X415" s="30"/>
      <c r="Y415" s="30"/>
    </row>
    <row r="416" spans="20:25" x14ac:dyDescent="0.3">
      <c r="T416" s="30"/>
      <c r="U416" s="30"/>
      <c r="V416" s="30"/>
      <c r="W416" s="30"/>
      <c r="X416" s="30"/>
      <c r="Y416" s="30"/>
    </row>
    <row r="417" spans="20:25" x14ac:dyDescent="0.3">
      <c r="T417" s="30"/>
      <c r="U417" s="30"/>
      <c r="V417" s="30"/>
      <c r="W417" s="30"/>
      <c r="X417" s="30"/>
      <c r="Y417" s="30"/>
    </row>
    <row r="418" spans="20:25" x14ac:dyDescent="0.3">
      <c r="T418" s="30"/>
      <c r="U418" s="30"/>
      <c r="V418" s="30"/>
      <c r="W418" s="30"/>
      <c r="X418" s="30"/>
      <c r="Y418" s="30"/>
    </row>
    <row r="419" spans="20:25" x14ac:dyDescent="0.3">
      <c r="T419" s="30"/>
      <c r="U419" s="30"/>
      <c r="V419" s="30"/>
      <c r="W419" s="30"/>
      <c r="X419" s="30"/>
      <c r="Y419" s="30"/>
    </row>
    <row r="420" spans="20:25" x14ac:dyDescent="0.3">
      <c r="T420" s="30"/>
      <c r="U420" s="30"/>
      <c r="V420" s="30"/>
      <c r="W420" s="30"/>
      <c r="X420" s="30"/>
      <c r="Y420" s="30"/>
    </row>
    <row r="421" spans="20:25" x14ac:dyDescent="0.3">
      <c r="T421" s="30"/>
      <c r="U421" s="30"/>
      <c r="V421" s="30"/>
      <c r="W421" s="30"/>
      <c r="X421" s="30"/>
      <c r="Y421" s="30"/>
    </row>
    <row r="422" spans="20:25" x14ac:dyDescent="0.3">
      <c r="T422" s="30"/>
      <c r="U422" s="30"/>
      <c r="V422" s="30"/>
      <c r="W422" s="30"/>
      <c r="X422" s="30"/>
      <c r="Y422" s="30"/>
    </row>
    <row r="423" spans="20:25" x14ac:dyDescent="0.3">
      <c r="T423" s="30"/>
      <c r="U423" s="30"/>
      <c r="V423" s="30"/>
      <c r="W423" s="30"/>
      <c r="X423" s="30"/>
      <c r="Y423" s="30"/>
    </row>
    <row r="424" spans="20:25" x14ac:dyDescent="0.3">
      <c r="T424" s="30"/>
      <c r="U424" s="30"/>
      <c r="V424" s="30"/>
      <c r="W424" s="30"/>
      <c r="X424" s="30"/>
      <c r="Y424" s="30"/>
    </row>
    <row r="425" spans="20:25" x14ac:dyDescent="0.3">
      <c r="T425" s="30"/>
      <c r="U425" s="30"/>
      <c r="V425" s="30"/>
      <c r="W425" s="30"/>
      <c r="X425" s="30"/>
      <c r="Y425" s="30"/>
    </row>
    <row r="426" spans="20:25" x14ac:dyDescent="0.3">
      <c r="T426" s="30"/>
      <c r="U426" s="30"/>
      <c r="V426" s="30"/>
      <c r="W426" s="30"/>
      <c r="X426" s="30"/>
      <c r="Y426" s="30"/>
    </row>
    <row r="427" spans="20:25" x14ac:dyDescent="0.3">
      <c r="T427" s="30"/>
      <c r="U427" s="30"/>
      <c r="V427" s="30"/>
      <c r="W427" s="30"/>
      <c r="X427" s="30"/>
      <c r="Y427" s="30"/>
    </row>
    <row r="428" spans="20:25" x14ac:dyDescent="0.3">
      <c r="T428" s="30"/>
      <c r="U428" s="30"/>
      <c r="V428" s="30"/>
      <c r="W428" s="30"/>
      <c r="X428" s="30"/>
      <c r="Y428" s="30"/>
    </row>
    <row r="429" spans="20:25" x14ac:dyDescent="0.3">
      <c r="T429" s="30"/>
      <c r="U429" s="30"/>
      <c r="V429" s="30"/>
      <c r="W429" s="30"/>
      <c r="X429" s="30"/>
      <c r="Y429" s="30"/>
    </row>
    <row r="430" spans="20:25" x14ac:dyDescent="0.3">
      <c r="T430" s="30"/>
      <c r="U430" s="30"/>
      <c r="V430" s="30"/>
      <c r="W430" s="30"/>
      <c r="X430" s="30"/>
      <c r="Y430" s="30"/>
    </row>
    <row r="431" spans="20:25" x14ac:dyDescent="0.3">
      <c r="T431" s="30"/>
      <c r="U431" s="30"/>
      <c r="V431" s="30"/>
      <c r="W431" s="30"/>
      <c r="X431" s="30"/>
      <c r="Y431" s="30"/>
    </row>
    <row r="432" spans="20:25" x14ac:dyDescent="0.3">
      <c r="T432" s="30"/>
      <c r="U432" s="30"/>
      <c r="V432" s="30"/>
      <c r="W432" s="30"/>
      <c r="X432" s="30"/>
      <c r="Y432" s="30"/>
    </row>
    <row r="433" spans="20:25" x14ac:dyDescent="0.3">
      <c r="T433" s="30"/>
      <c r="U433" s="30"/>
      <c r="V433" s="30"/>
      <c r="W433" s="30"/>
      <c r="X433" s="30"/>
      <c r="Y433" s="30"/>
    </row>
    <row r="434" spans="20:25" x14ac:dyDescent="0.3">
      <c r="T434" s="30"/>
      <c r="U434" s="30"/>
      <c r="V434" s="30"/>
      <c r="W434" s="30"/>
      <c r="X434" s="30"/>
      <c r="Y434" s="30"/>
    </row>
    <row r="435" spans="20:25" x14ac:dyDescent="0.3">
      <c r="T435" s="30"/>
      <c r="U435" s="30"/>
      <c r="V435" s="30"/>
      <c r="W435" s="30"/>
      <c r="X435" s="30"/>
      <c r="Y435" s="30"/>
    </row>
    <row r="436" spans="20:25" x14ac:dyDescent="0.3">
      <c r="T436" s="30"/>
      <c r="U436" s="30"/>
      <c r="V436" s="30"/>
      <c r="W436" s="30"/>
      <c r="X436" s="30"/>
      <c r="Y436" s="30"/>
    </row>
    <row r="437" spans="20:25" x14ac:dyDescent="0.3">
      <c r="T437" s="30"/>
      <c r="U437" s="30"/>
      <c r="V437" s="30"/>
      <c r="W437" s="30"/>
      <c r="X437" s="30"/>
      <c r="Y437" s="30"/>
    </row>
    <row r="438" spans="20:25" x14ac:dyDescent="0.3">
      <c r="T438" s="30"/>
      <c r="U438" s="30"/>
      <c r="V438" s="30"/>
      <c r="W438" s="30"/>
      <c r="X438" s="30"/>
      <c r="Y438" s="30"/>
    </row>
    <row r="439" spans="20:25" x14ac:dyDescent="0.3">
      <c r="T439" s="30"/>
      <c r="U439" s="30"/>
      <c r="V439" s="30"/>
      <c r="W439" s="30"/>
      <c r="X439" s="30"/>
      <c r="Y439" s="30"/>
    </row>
    <row r="440" spans="20:25" x14ac:dyDescent="0.3">
      <c r="T440" s="30"/>
      <c r="U440" s="30"/>
      <c r="V440" s="30"/>
      <c r="W440" s="30"/>
      <c r="X440" s="30"/>
      <c r="Y440" s="30"/>
    </row>
    <row r="441" spans="20:25" x14ac:dyDescent="0.3">
      <c r="T441" s="30"/>
      <c r="U441" s="30"/>
      <c r="V441" s="30"/>
      <c r="W441" s="30"/>
      <c r="X441" s="30"/>
      <c r="Y441" s="30"/>
    </row>
    <row r="442" spans="20:25" x14ac:dyDescent="0.3">
      <c r="T442" s="30"/>
      <c r="U442" s="30"/>
      <c r="V442" s="30"/>
      <c r="W442" s="30"/>
      <c r="X442" s="30"/>
      <c r="Y442" s="30"/>
    </row>
    <row r="443" spans="20:25" x14ac:dyDescent="0.3">
      <c r="T443" s="30"/>
      <c r="U443" s="30"/>
      <c r="V443" s="30"/>
      <c r="W443" s="30"/>
      <c r="X443" s="30"/>
      <c r="Y443" s="30"/>
    </row>
    <row r="444" spans="20:25" x14ac:dyDescent="0.3">
      <c r="T444" s="30"/>
      <c r="U444" s="30"/>
      <c r="V444" s="30"/>
      <c r="W444" s="30"/>
      <c r="X444" s="30"/>
      <c r="Y444" s="30"/>
    </row>
    <row r="445" spans="20:25" x14ac:dyDescent="0.3">
      <c r="T445" s="30"/>
      <c r="U445" s="30"/>
      <c r="V445" s="30"/>
      <c r="W445" s="30"/>
      <c r="X445" s="30"/>
      <c r="Y445" s="30"/>
    </row>
    <row r="446" spans="20:25" x14ac:dyDescent="0.3">
      <c r="T446" s="30"/>
      <c r="U446" s="30"/>
      <c r="V446" s="30"/>
      <c r="W446" s="30"/>
      <c r="X446" s="30"/>
      <c r="Y446" s="30"/>
    </row>
    <row r="447" spans="20:25" x14ac:dyDescent="0.3">
      <c r="T447" s="30"/>
      <c r="U447" s="30"/>
      <c r="V447" s="30"/>
      <c r="W447" s="30"/>
      <c r="X447" s="30"/>
      <c r="Y447" s="30"/>
    </row>
    <row r="448" spans="20:25" x14ac:dyDescent="0.3">
      <c r="T448" s="30"/>
      <c r="U448" s="30"/>
      <c r="V448" s="30"/>
      <c r="W448" s="30"/>
      <c r="X448" s="30"/>
      <c r="Y448" s="30"/>
    </row>
    <row r="449" spans="20:25" x14ac:dyDescent="0.3">
      <c r="T449" s="30"/>
      <c r="U449" s="30"/>
      <c r="V449" s="30"/>
      <c r="W449" s="30"/>
      <c r="X449" s="30"/>
      <c r="Y449" s="30"/>
    </row>
    <row r="450" spans="20:25" x14ac:dyDescent="0.3">
      <c r="T450" s="30"/>
      <c r="U450" s="30"/>
      <c r="V450" s="30"/>
      <c r="W450" s="30"/>
      <c r="X450" s="30"/>
      <c r="Y450" s="30"/>
    </row>
    <row r="451" spans="20:25" x14ac:dyDescent="0.3">
      <c r="T451" s="30"/>
      <c r="U451" s="30"/>
      <c r="V451" s="30"/>
      <c r="W451" s="30"/>
      <c r="X451" s="30"/>
      <c r="Y451" s="30"/>
    </row>
    <row r="452" spans="20:25" x14ac:dyDescent="0.3">
      <c r="T452" s="30"/>
      <c r="U452" s="30"/>
      <c r="V452" s="30"/>
      <c r="W452" s="30"/>
      <c r="X452" s="30"/>
      <c r="Y452" s="30"/>
    </row>
    <row r="453" spans="20:25" x14ac:dyDescent="0.3">
      <c r="T453" s="30"/>
      <c r="U453" s="30"/>
      <c r="V453" s="30"/>
      <c r="W453" s="30"/>
      <c r="X453" s="30"/>
      <c r="Y453" s="30"/>
    </row>
    <row r="454" spans="20:25" x14ac:dyDescent="0.3">
      <c r="T454" s="30"/>
      <c r="U454" s="30"/>
      <c r="V454" s="30"/>
      <c r="W454" s="30"/>
      <c r="X454" s="30"/>
      <c r="Y454" s="30"/>
    </row>
    <row r="455" spans="20:25" x14ac:dyDescent="0.3">
      <c r="T455" s="30"/>
      <c r="U455" s="30"/>
      <c r="V455" s="30"/>
      <c r="W455" s="30"/>
      <c r="X455" s="30"/>
      <c r="Y455" s="30"/>
    </row>
    <row r="456" spans="20:25" x14ac:dyDescent="0.3">
      <c r="T456" s="30"/>
      <c r="U456" s="30"/>
      <c r="V456" s="30"/>
      <c r="W456" s="30"/>
      <c r="X456" s="30"/>
      <c r="Y456" s="30"/>
    </row>
    <row r="457" spans="20:25" x14ac:dyDescent="0.3">
      <c r="T457" s="30"/>
      <c r="U457" s="30"/>
      <c r="V457" s="30"/>
      <c r="W457" s="30"/>
      <c r="X457" s="30"/>
      <c r="Y457" s="30"/>
    </row>
    <row r="458" spans="20:25" x14ac:dyDescent="0.3">
      <c r="T458" s="30"/>
      <c r="U458" s="30"/>
      <c r="V458" s="30"/>
      <c r="W458" s="30"/>
      <c r="X458" s="30"/>
      <c r="Y458" s="30"/>
    </row>
    <row r="459" spans="20:25" x14ac:dyDescent="0.3">
      <c r="T459" s="30"/>
      <c r="U459" s="30"/>
      <c r="V459" s="30"/>
      <c r="W459" s="30"/>
      <c r="X459" s="30"/>
      <c r="Y459" s="30"/>
    </row>
    <row r="460" spans="20:25" x14ac:dyDescent="0.3">
      <c r="T460" s="30"/>
      <c r="U460" s="30"/>
      <c r="V460" s="30"/>
      <c r="W460" s="30"/>
      <c r="X460" s="30"/>
      <c r="Y460" s="30"/>
    </row>
    <row r="461" spans="20:25" x14ac:dyDescent="0.3">
      <c r="T461" s="30"/>
      <c r="U461" s="30"/>
      <c r="V461" s="30"/>
      <c r="W461" s="30"/>
      <c r="X461" s="30"/>
      <c r="Y461" s="30"/>
    </row>
    <row r="462" spans="20:25" x14ac:dyDescent="0.3">
      <c r="T462" s="30"/>
      <c r="U462" s="30"/>
      <c r="V462" s="30"/>
      <c r="W462" s="30"/>
      <c r="X462" s="30"/>
      <c r="Y462" s="30"/>
    </row>
    <row r="463" spans="20:25" x14ac:dyDescent="0.3">
      <c r="T463" s="30"/>
      <c r="U463" s="30"/>
      <c r="V463" s="30"/>
      <c r="W463" s="30"/>
      <c r="X463" s="30"/>
      <c r="Y463" s="30"/>
    </row>
    <row r="464" spans="20:25" x14ac:dyDescent="0.3">
      <c r="T464" s="30"/>
      <c r="U464" s="30"/>
      <c r="V464" s="30"/>
      <c r="W464" s="30"/>
      <c r="X464" s="30"/>
      <c r="Y464" s="30"/>
    </row>
    <row r="465" spans="20:25" x14ac:dyDescent="0.3">
      <c r="T465" s="30"/>
      <c r="U465" s="30"/>
      <c r="V465" s="30"/>
      <c r="W465" s="30"/>
      <c r="X465" s="30"/>
      <c r="Y465" s="30"/>
    </row>
    <row r="466" spans="20:25" x14ac:dyDescent="0.3">
      <c r="T466" s="30"/>
      <c r="U466" s="30"/>
      <c r="V466" s="30"/>
      <c r="W466" s="30"/>
      <c r="X466" s="30"/>
      <c r="Y466" s="30"/>
    </row>
    <row r="467" spans="20:25" x14ac:dyDescent="0.3">
      <c r="T467" s="30"/>
      <c r="U467" s="30"/>
      <c r="V467" s="30"/>
      <c r="W467" s="30"/>
      <c r="X467" s="30"/>
      <c r="Y467" s="30"/>
    </row>
    <row r="468" spans="20:25" x14ac:dyDescent="0.3">
      <c r="T468" s="30"/>
      <c r="U468" s="30"/>
      <c r="V468" s="30"/>
      <c r="W468" s="30"/>
      <c r="X468" s="30"/>
      <c r="Y468" s="30"/>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2021-11-06T06:40:06Z</dcterms:modified>
</cp:coreProperties>
</file>