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m\Desktop\workout lipocavitation diet\"/>
    </mc:Choice>
  </mc:AlternateContent>
  <xr:revisionPtr revIDLastSave="0" documentId="13_ncr:1_{C27AC641-AD93-40A3-885D-252BD31D86AE}" xr6:coauthVersionLast="46" xr6:coauthVersionMax="46" xr10:uidLastSave="{00000000-0000-0000-0000-000000000000}"/>
  <bookViews>
    <workbookView xWindow="-120" yWindow="-120" windowWidth="20730" windowHeight="11160" activeTab="1" xr2:uid="{00000000-000D-0000-FFFF-FFFF00000000}"/>
  </bookViews>
  <sheets>
    <sheet name="researchMeasures" sheetId="1" r:id="rId1"/>
    <sheet name="NutritionalData"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3" i="1" l="1"/>
  <c r="AH23" i="1"/>
  <c r="AG23" i="1"/>
  <c r="AC23" i="1"/>
  <c r="AF23" i="1"/>
  <c r="AE23" i="1"/>
  <c r="AD23" i="1"/>
  <c r="G54" i="4"/>
  <c r="F54" i="4"/>
  <c r="E54" i="4"/>
  <c r="D54" i="4"/>
  <c r="C54" i="4"/>
  <c r="B54" i="4"/>
  <c r="N23" i="1"/>
  <c r="AQ21" i="1"/>
  <c r="AP20" i="1"/>
  <c r="AQ19" i="1"/>
  <c r="AP19" i="1"/>
  <c r="AQ16" i="1"/>
  <c r="AP16" i="1"/>
  <c r="AQ14" i="1"/>
  <c r="AP13" i="1"/>
  <c r="AQ12" i="1"/>
  <c r="AP12" i="1"/>
  <c r="AP10" i="1"/>
  <c r="AP9" i="1"/>
  <c r="AQ7" i="1"/>
  <c r="AP5" i="1"/>
  <c r="N10" i="1"/>
  <c r="N11" i="1"/>
  <c r="N12" i="1"/>
  <c r="N13" i="1"/>
  <c r="N14" i="1"/>
  <c r="N15" i="1"/>
  <c r="N16" i="1"/>
  <c r="N17" i="1"/>
  <c r="N18" i="1"/>
  <c r="N19" i="1"/>
  <c r="N20" i="1"/>
  <c r="N21" i="1"/>
  <c r="N22" i="1"/>
  <c r="N4" i="1"/>
  <c r="N5" i="1"/>
  <c r="N6" i="1"/>
  <c r="N7" i="1"/>
  <c r="N8" i="1"/>
  <c r="N9" i="1"/>
  <c r="N3" i="1"/>
  <c r="O23" i="1"/>
  <c r="O22" i="1"/>
  <c r="O21" i="1"/>
  <c r="O20" i="1"/>
  <c r="O19" i="1"/>
  <c r="O18" i="1"/>
  <c r="O17" i="1"/>
  <c r="O16" i="1"/>
  <c r="O15" i="1"/>
  <c r="O14" i="1"/>
  <c r="O13" i="1"/>
  <c r="O12" i="1"/>
  <c r="O11" i="1"/>
  <c r="O10" i="1"/>
  <c r="O9" i="1"/>
  <c r="O8" i="1"/>
  <c r="O7" i="1"/>
  <c r="O6" i="1"/>
  <c r="O5" i="1"/>
  <c r="O4" i="1"/>
  <c r="O3" i="1"/>
  <c r="F37" i="4"/>
  <c r="E37" i="4"/>
  <c r="F31" i="4"/>
  <c r="AI2" i="1"/>
  <c r="AH2" i="1"/>
  <c r="AG2" i="1"/>
  <c r="AF2" i="1"/>
  <c r="AC2" i="1"/>
  <c r="AG22" i="1"/>
  <c r="AG21" i="1"/>
  <c r="AG20" i="1"/>
  <c r="AG19" i="1"/>
  <c r="AG18" i="1"/>
  <c r="AG17" i="1"/>
  <c r="AG16" i="1"/>
  <c r="AG15" i="1"/>
  <c r="AG14" i="1"/>
  <c r="AG13" i="1"/>
  <c r="AG12" i="1"/>
  <c r="AG11" i="1"/>
  <c r="AI10" i="1"/>
  <c r="AH10" i="1"/>
  <c r="AG10" i="1"/>
  <c r="AF10" i="1"/>
  <c r="AE10" i="1"/>
  <c r="AD10" i="1"/>
  <c r="AC10" i="1"/>
  <c r="AG9" i="1"/>
  <c r="AG8" i="1"/>
  <c r="AG7" i="1"/>
  <c r="AG6" i="1"/>
  <c r="AG5" i="1"/>
  <c r="AG4" i="1"/>
  <c r="AG3" i="1"/>
  <c r="AI22" i="1"/>
  <c r="AH22" i="1"/>
  <c r="AF22" i="1"/>
  <c r="AE22" i="1"/>
  <c r="AD22" i="1"/>
  <c r="AC22" i="1"/>
  <c r="AI21" i="1"/>
  <c r="AH21" i="1"/>
  <c r="AF21" i="1"/>
  <c r="AE21" i="1"/>
  <c r="AD21" i="1"/>
  <c r="AC21" i="1"/>
  <c r="AI20" i="1"/>
  <c r="AH20" i="1"/>
  <c r="AF20" i="1"/>
  <c r="AE20" i="1"/>
  <c r="AD20" i="1"/>
  <c r="AC20" i="1"/>
  <c r="C37" i="4"/>
  <c r="D37" i="4"/>
  <c r="G37" i="4"/>
  <c r="H37" i="4"/>
  <c r="B37" i="4"/>
  <c r="H31" i="4"/>
  <c r="D31" i="4"/>
  <c r="E31" i="4"/>
  <c r="G31" i="4"/>
  <c r="C31" i="4"/>
  <c r="B31" i="4"/>
  <c r="AH18" i="1"/>
  <c r="AH17" i="1"/>
  <c r="AH16" i="1"/>
  <c r="AH14" i="1"/>
  <c r="AH12" i="1"/>
  <c r="AH15" i="1"/>
  <c r="AH13" i="1"/>
  <c r="AH11" i="1"/>
  <c r="AH9" i="1"/>
  <c r="AH8" i="1"/>
  <c r="AH7" i="1"/>
  <c r="AI7" i="1"/>
  <c r="AF7" i="1"/>
  <c r="AC7" i="1"/>
  <c r="AH6" i="1"/>
  <c r="AH5" i="1"/>
  <c r="AH4" i="1"/>
  <c r="AH3" i="1"/>
  <c r="AH19" i="1"/>
  <c r="AI19" i="1"/>
  <c r="AF19" i="1"/>
  <c r="AE19" i="1"/>
  <c r="AD19" i="1"/>
  <c r="AC19" i="1"/>
  <c r="AI18" i="1"/>
  <c r="AI17" i="1"/>
  <c r="AI16" i="1"/>
  <c r="AI15" i="1"/>
  <c r="AI14" i="1"/>
  <c r="AI13" i="1"/>
  <c r="AI12" i="1"/>
  <c r="AI11" i="1"/>
  <c r="AI9" i="1"/>
  <c r="AI8" i="1"/>
  <c r="AI5" i="1"/>
  <c r="AI6" i="1"/>
  <c r="AI4" i="1"/>
  <c r="AI3" i="1"/>
  <c r="AE18" i="1"/>
  <c r="AE5" i="1"/>
  <c r="AD4" i="1"/>
  <c r="AF18" i="1"/>
  <c r="AF12" i="1"/>
  <c r="AE12" i="1"/>
  <c r="AD12" i="1"/>
  <c r="AF11" i="1"/>
  <c r="AE11" i="1"/>
  <c r="AD11" i="1"/>
  <c r="AF13" i="1"/>
  <c r="AE13" i="1"/>
  <c r="AD13" i="1"/>
  <c r="AF14" i="1"/>
  <c r="AE14" i="1"/>
  <c r="AD14" i="1"/>
  <c r="AF15" i="1"/>
  <c r="AE15" i="1"/>
  <c r="AD15" i="1"/>
  <c r="AF16" i="1"/>
  <c r="AE16" i="1"/>
  <c r="AD16" i="1"/>
  <c r="AF17" i="1"/>
  <c r="AE17" i="1"/>
  <c r="AD17" i="1"/>
  <c r="AD18" i="1"/>
  <c r="AC18" i="1"/>
  <c r="AF9" i="1"/>
  <c r="AE9" i="1"/>
  <c r="AD9" i="1"/>
  <c r="AF8" i="1"/>
  <c r="AE8" i="1"/>
  <c r="AD8" i="1"/>
  <c r="AE7" i="1"/>
  <c r="AD7" i="1"/>
  <c r="AF6" i="1"/>
  <c r="AE6" i="1"/>
  <c r="AD6" i="1"/>
  <c r="AF5" i="1"/>
  <c r="AD5" i="1"/>
  <c r="AF4" i="1"/>
  <c r="AE4" i="1"/>
  <c r="AF3" i="1"/>
  <c r="AE3" i="1"/>
  <c r="AE2" i="1"/>
  <c r="AD3" i="1"/>
  <c r="AD2" i="1"/>
  <c r="AC17" i="1"/>
  <c r="AC16" i="1"/>
  <c r="AC15" i="1"/>
  <c r="AC14" i="1"/>
  <c r="AC13" i="1"/>
  <c r="AC12" i="1"/>
  <c r="AC11" i="1"/>
  <c r="AC9" i="1"/>
  <c r="AC8" i="1"/>
  <c r="AC6" i="1"/>
  <c r="AC5" i="1"/>
  <c r="AC4" i="1"/>
  <c r="AC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<sst xmlns="http://schemas.openxmlformats.org/spreadsheetml/2006/main" count="311" uniqueCount="223">
  <si>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</si>
  <si>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</si>
  <si>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</si>
  <si>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</si>
  <si>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</si>
  <si>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</si>
  <si>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</si>
  <si>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</si>
  <si>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</si>
  <si>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</si>
  <si>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</si>
  <si>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</si>
  <si>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</si>
  <si>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</si>
  <si>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</si>
  <si>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</si>
  <si>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lipoCavitation</t>
  </si>
  <si>
    <t>Tue</t>
  </si>
  <si>
    <t>Wed</t>
  </si>
  <si>
    <t>Thur</t>
  </si>
  <si>
    <t>Fri</t>
  </si>
  <si>
    <t>Sat</t>
  </si>
  <si>
    <t>NA</t>
  </si>
  <si>
    <t>results</t>
  </si>
  <si>
    <t>4-5 minute rounds</t>
  </si>
  <si>
    <t>5-5 minute rounds</t>
  </si>
  <si>
    <t>5-4 minute rounds</t>
  </si>
  <si>
    <t>6-5 minute rounds</t>
  </si>
  <si>
    <t>10-3 minute rounds</t>
  </si>
  <si>
    <t>cardioKickBoxingRoutine80lt20pwr</t>
  </si>
  <si>
    <t>kickBoxingMoves</t>
  </si>
  <si>
    <t>jabs, crosses, hooks, front kicks, roundhouse kicks, side kicks, muay thai kicks, ducking, moving feet, spinning back fists, spinning back kicks, jumping knees, knees, jumping  spinning back kicks, etc.</t>
  </si>
  <si>
    <t>lipoCavitationTreatment</t>
  </si>
  <si>
    <t>5 minutes each on hamstrings and triceps and abs using 60-65% RF power on vacuum and RF at lowest suction and lowest frequency of suction for 2 minutes, then 3 minutes 20-25% RF power at med frequency suction for low frequency suction</t>
  </si>
  <si>
    <t>diet</t>
  </si>
  <si>
    <t>avoid butter and alcohol, choose from avocado, eggs hormone/cage free, dill bread, quesadillas corn with mozzarella cheese, gluten free edemame or red lentil pasta, 4 cheese priano pasta sauce, coffee creamer free, soups (lentil, tomato, vegetable), sourcream 2tbls, oranges, grapefruit, grapes, blueberries, blackberries, strawberries, pears, mangos, apples, bell peppers in pasta</t>
  </si>
  <si>
    <t>7:45 AM overlap research 1 with research 2 (this one) 11:00:00 AM</t>
  </si>
  <si>
    <t>exercisesSetRepsLbs</t>
  </si>
  <si>
    <t>standing abducturs 3 sets 10-12 reps 20 lbs
standing adductors 3 sets 10-12 reps 20 lbs
bench press 3 sets 10-12 reps barbell 45 lbs
military press 1 set barbell 45 lbs, 2 sets 30 lb dumbells
dead lifts 3 sets 10-12 reps barbell 45 lbs
squats 3 sets 10 reps barbell 45 lb + 40lbs added weight
tricep extension rope standing 1 set 30 lbs, 2 sets 25 lbs
obliques side extensions 3 sets 12 reps 15 lbs
leg lifts standing for abs, 3 sets 20 reps no added weight
rhomboids scapula abduction 3 sets 12 reps 20 lbs
shoulder lifts medial/posterior deltoids/latts 3 sets 10 reps 10 lbs
tricep extension above head dumbells 10 lbs 3 sets 10 reps
tricep chair dips 3 sets 12 reps no added weight
calves 3 sets 12 reps 30 lbs total with dumbells
quads with leg extensions sitting 3 sets 10-12 reps 40 lbs
hamstrings leg flexion laying prone 3 sets 10-12 reps 35 lbs
forgot biceps, upper trapezius shoulder shrugs</t>
  </si>
  <si>
    <t>timeMeasurementsTaken</t>
  </si>
  <si>
    <t>biceps 15lbs 3 sets 10 each
deltoids/latts/mid trapezius with dumbell shoulder raise 10lbs each
obliques side flexion with 20lb dumbell each side
tricep extension above head dumbells 20 lbs 3 sets 10 reps
shoulder shrugs with weights 20 lbs 3 sets of 10 reps
deadlifts with dumbells 20lbs each 3 sets 10 reps
calves with dorsal extension toe stands 3 sets 10-12 reps 20lbs each
rhomboids with bench forward lean 20lb dumbells each side 3 sets 10-12 reps
abs leg lifts each side 3 sets 10-12 reps
quad leg extension sitting with 40lbs 3 sets 10 reps
hamstrings with leg flexion flat bench 35lbs 3 sets 10 reps
chest with military press with 15lb dumbells
abductors/adductors standing cable with 20lbs each to ease knee strain 3 sets 10-12 reps each
squats barbell 45+40lbs standing squats 3 sets 10 reps
standing tricep rope extension 20lbs 3 sets 10 reps
forgot tricep chair dips 3 sets 12 reps no added weight</t>
  </si>
  <si>
    <t>1230 PM</t>
  </si>
  <si>
    <t>Sun</t>
  </si>
  <si>
    <t>biceps 15lbs 3 sets 10 each
abductors/adductors standing cable with 15lbs each to ease knee strain 3 sets 10-12 reps each
quad leg extension sitting with 40lbs 3 sets 10 reps
standing tricep rope extension 20lbs 3 sets 10 reps
squats barbell 45+40lbs standing squats 3 sets 10 reps
hamstrings with leg flexion flat bench 35lbs 3 sets 10 reps
deadlifts with dumbells 20lbs each 3 sets 10 reps
obliques side flexion with 20lb dumbell each side
abs leg lifts each side 3 sets 10-12 reps
rhomboids with bench forward lean 20lb dumbells each side 3 sets 10-12 reps
chest with military press with 15lb dumbells
calves with dorsal extension toe stands 3 sets 10-12 reps 20lbs each
deltoids/latts/mid trapezius with dumbell shoulder raise 10lbs each
tricep extension above head dumbells 20 lbs 3 sets 10 reps
tricep chair dips 3 sets 12 reps no added weight
forgot shoulder shrugs with weights again, remembered biceps</t>
  </si>
  <si>
    <t>standing abducturs 3 sets 10-12 reps 20 lbs
standing adductors 3 sets 10-12 reps 20 lbs
dead lifts 3 sets 10-12 reps barbell 45 lbs                                                                                                                                                                                                                                                                                 bench press 3 sets 10-12 reps barbell 45 lbs
squats 3 sets 10 reps barbell 45 lb + 40lbs added weight
tricep extension rope standing 3 sets 20 lbs
obliques side extensions 3 sets 12 reps 20 lbs
leg lifts standing for abs, 3 sets 20 reps no added weight
rhomboids scapula abduction 3 sets 12 reps 20 lbs
shoulder lifts medial/posterior deltoids/latts 3 sets 10 reps 10 lbs
tricep extension above head dumbells 20 lbs 3 sets 10 reps
tricep chair dips 3 sets 12 reps no added weight
calves 3 sets 12 reps 40 lbs total with dumbells
military press 1 set barbell 45 lbs, 2 sets 30 lb dumbells
quads with leg extensions sitting 3 sets 10-12 reps 40 lbs
hamstrings leg flexion laying prone 3 sets 10-12 reps 35 lbs
biceps 30 lb dumbells
upper trapezius shoulder shrugs 40 lb dumbells</t>
  </si>
  <si>
    <t>tricep extension above head dumbells 25 lbs 3 sets 10 reps
calves 3 sets 12 reps 50 lbs total with dumbells
military press 1 set 40 lb dumbells, 2 sets 30 lb dumbells
upper trapezius shoulder shrugs 50 lbs dumbells
standing adductors 3 sets 10-12 reps 20 lbs
quads with leg extensions sitting 3 sets 10-12 reps 40 lbs 
squats 3 sets 10 reps barbell 45 lb + 40lbs added weight
tricep extension rope standing 3 sets 25 lbs
obliques side extensions 3 sets 12 reps 25 lbs
tricep chair dips 3 sets 12 reps no added weight
leg lifts standing for abs, 3 sets 20 reps no added weight
rhomboids scapula abduction 3 sets 12 reps 20 lbs
biceps curls 30 lbs 3 sets 10-12 
shoulder lifts medial/posterior deltoids/latts 3 sets 10 reps 10 lbs
hamstrings leg flexion laying prone 3 sets 10-12 reps 35 lbs
dead lifts 3 sets 10-12 reps dumbells 50 lbs 
bench press 3 sets 10-12 reps barbell 65 lbs 
standing abducturs 3 sets 10-12 reps 20 lbs</t>
  </si>
  <si>
    <t>5 minutes each on hamstrings and triceps and abs using 60-65% RF power on vacuum and RF at lowest suction and lowest frequency of suction for 3 minutes, then 2 minutes 20-25% RF power at med frequency suction for low frequency suction, bruising noticed immediately afterwards on the TSF ITB area of upper lateral thighs mostly Left side and next day on R side, no additional bruising on triceps, only visible bruising remaining on Left tricep, had to lower suction to no bars with minimal vacuum or only 1 bar, still painful on legs and arms</t>
  </si>
  <si>
    <t>5 minutes each on hamstrings and triceps and abs using 60-65% RF power on vacuum and RF at lowest suction and lowest frequency of suction for 3 minutes, then 2 minutes 20-25% RF power at med frequency suction for low frequency suction, bruising noticed on triceps only especially the left tricep, lowered suction to lowest setting</t>
  </si>
  <si>
    <t>5 minutes each on hamstrings and triceps and abs using 60-65% RF power on vacuum and RF at lowest suction and lowest frequency of suction for 3 minutes, then 2 minutes 20-25% RF power at med frequency suction for low frequency suction</t>
  </si>
  <si>
    <t>5 minutes each on hamstrings and triceps and abs using 60-65% RF power on vacuum and RF at lowest suction and lowest frequency of suction for 3 minutes, then 2 minutes 20-25% RF power using the 6 pronged RF Body tool instead of the vacuum and RF body tool to get more surface area of the fat cells</t>
  </si>
  <si>
    <t>biceps 15lbs each arm dumbells 3 sets 10 each
abductors/adductors standing cable with 15lbs each to ease knee strain 3 sets 10-12 reps each
quad leg extension sitting with 40lbs 3 sets 10 reps
standing tricep rope extension 20lbs 3 sets 10 reps
squats barbell 45+40lbs standing squats 3 sets 10 reps
hamstrings with leg flexion flat bench 35lbs 3 sets 10 reps
deadlifts with dumbells 20lbs each 3 sets 10 reps
obliques side flexion with 20lb dumbell each side 3 sets 10-12 reps
abs leg lifts each side 3 sets 10-20 reps
rhomboids with bench forward lean 20lb dumbells each side 3 sets 10-12 reps
chest with military press with 15lb dumbells
calves with dorsal extension toe stands 3 sets 10-12 reps 20lbs each dumbell
deltoids/latts/mid trapezius with dumbell shoulder raise 10lbs each dumbell
tricep extension above head dumbells 20 lbs 3 sets 10 reps
tricep chair dips 3 sets 12 reps no added weight
upper trapz/levator scapulas, shoulder shrugs with 20 lb weights</t>
  </si>
  <si>
    <t xml:space="preserve">standing tricep rope extension 20lbs 3 sets 10 reps
squats barbell 45+40lbs standing squats 3 sets 10 reps
tricep chair dips 3 sets 12 reps no added weight
quad leg extension sitting with 40lbs 3 sets 10 reps
hamstrings with leg flexion flat bench 35lbs 3 sets 10 reps
deltoids/latts/mid trapezius with dumbell shoulder raise 10lbs each
abductors/adductors standing cable with 20 lbs each to ease knee strain 3 sets 10-12 reps each
deadlifts with dumbells 20lbs each 3 sets 10 reps
obliques side flexion with 20lb dumbell each side
deltoids/latts/mid trapezius with dumbell shoulder raise 10lbs each
biceps 15lbs 3 sets 10 each
tricep extension above head dumbells 20 lbs 3 sets 10 reps
shoulder shrugs with weights 20 lbs 3 sets of 10 reps
calves with dorsal extension toe stands 3 sets 10-12 reps 20lbs each
abs leg lifts each side 3 sets 10-20 reps
pectoralis major anterior deltoid tricep, bench press 45lbs barbell 3 sets 10-12 reps
</t>
  </si>
  <si>
    <t xml:space="preserve">tricep extension above head dumbells 20 lbs 3 sets 10 reps
calves 3 sets 12 reps 50 lbs total with dumbells
hamstrings leg flexion laying prone 3 sets 10-12 reps 35 lbs
military press 3 sets 30 lb dumbells
upper trapezius shoulder shrugs 50 lbs dumbells 3 sets 10-12 reps
standing abducturs 3 sets 10-12 reps 20 lbs
squats 3 sets 10 reps barbell 45 lb + 40lbs added weight
leg lifts standing for abs, 3 sets 20 reps no added weight
dead lifts 3 sets 10-12 reps dumbells 50 lbs 
quads with leg extensions sitting 3 sets 10-12 reps 40 lbs 
bench press 3 sets 10-12 reps barbell 65 lbs 
obliques side extensions 3 sets 12 reps 25 lbs
tricep chair dips 3 sets 12 reps no added weight
standing adductors 3 sets 10-12 reps 20 lbs
tricep extension rope standing 3 sets 25 lbs
rhomboids scapula abduction 3 sets 12 reps 25 lbs
biceps curls 30 lbs 3 sets 10-12 
shoulder lifts medial/posterior deltoids/latts 3 sets 10 reps 10 lbs
</t>
  </si>
  <si>
    <t>quads with leg extensions sitting 3 sets 10-12 reps 40 lbs 
bench press 3 sets 10-12 reps barbell 65 lbs 
obliques side extensions 3 sets 12 reps 25 lbs
tricep chair dips 3 sets 12 reps no added weight
tricep extension above head dumbells 25 lbs 3 sets 10 reps
calves 3 sets 12 reps 50 lbs total with dumbells
hamstrings leg flexion laying prone 3 sets 10-12 reps 35 lbs
military press 3 sets 30 lb dumbells
upper trapezius shoulder shrugs 50 lbs dumbells 3 sets 10-12 reps
standing abducturs 3 sets 10-12 reps 20 lbs
squats 3 sets 10 reps barbell 45 lb + 30lbs added weight
leg lifts standing for abs, 3 sets 20 reps no added weight
dead lifts 3 sets 10-12 reps dumbells 50 lbs 
standing adductors 3 sets 10-12 reps 20 lbs
tricep extension rope standing 3 sets 25 lbs
rhomboids scapula abduction 3 sets 12 reps 25 lbs
biceps curls 30 lbs 3 sets 10-12 
shoulder lifts medial/posterior deltoids/latts 3 sets 10 reps 10 lbs</t>
  </si>
  <si>
    <t>5 minutes each on hamstrings and triceps using 60-65% RF power on RF Body tool, and 5 minutes on abs and flanks of midsection with 2-3 notches on the vacuum power and frequency of vacuum suction at 20-25% RF power for 2 minutes and 1-2 notches at 60-65% RF power</t>
  </si>
  <si>
    <t>tricep extension above head dumbells 25 lbs 3 sets 10 reps
bench press 3 sets 10-12 reps barbell 55 lbs 
calves 3 sets 12 reps 50 lbs total with dumbells
upper trapezius shoulder shrugs 50 lbs dumbells
rhomboids scapula abduction 3 sets 12 reps 25 lbs
hamstrings leg flexion laying prone 3 sets 10-12 reps 35 lbs
dead lifts 3 sets 10-12 reps dumbells 50 lbs 
standing cable for outer thighs or abducturs 3 sets 10-12 reps 20 lbs
military press 1 set 40 lb dumbells, 2 sets 30 lb dumbells
quads with leg extensions sitting 3 sets 10-12 reps 40 lbs 
tricep extension rope standing 3 sets 25 lbs
obliques side extensions 3 sets 12 reps 25 lbs
tricep chair dips 3 sets 12 reps no added weight
biceps curls 30 lbs 3 sets 10-12 
leg lifts standing for abs, 3 sets 20 reps no added weight
shoulder lifts medial/posterior deltoids/latts 3 sets 10 reps 10 lbs
squats 3 sets 10 reps barbell 45 lb + 40lbs added weight
standing cable for inner thighs or adductors 3 sets 10-12 reps 20 lbs
STRETCHES RUINED BY NEIGHBORS MOTORCYCLE EXHAUST TORQUING LAST 10 MINUTES OF WEIGHT TRAINING, SMELL TOXIC FUMES IN GYM OUTDOOR TENT WAS STRONG. AT ABOUT 445PM</t>
  </si>
  <si>
    <t>waistTrimmer</t>
  </si>
  <si>
    <t>weatherAtWorkoutTime</t>
  </si>
  <si>
    <t>avoid butter and alcohol, choose from avocado, eggs hormone/cage free, dill bread, quesadillas corn with mozzarella cheese, gluten free edemame or red lentil pasta, 4 cheese priano pasta sauce, coffee creamer free, soups (lentil, tomato, vegetable), sourcream 2tbls, oranges, grapefruit, grapes, blueberries, blackberries, strawberries, pears, mangos, apples, bell peppers in pasta, Added on 1/16/21, also avoid rye, barley, and wheat for gluten free to see if it helps lower bloat appearance in lower abdomin.</t>
  </si>
  <si>
    <t>51 F</t>
  </si>
  <si>
    <t>48 F</t>
  </si>
  <si>
    <t>53 F</t>
  </si>
  <si>
    <t>63 F</t>
  </si>
  <si>
    <t>73 F</t>
  </si>
  <si>
    <t>60 F</t>
  </si>
  <si>
    <t>67 F</t>
  </si>
  <si>
    <t>81 F</t>
  </si>
  <si>
    <t>5 minutes each on hamstrings and triceps using 60-65% RF power on RF Body tool, and 5 minutes on abs and flanks of midsection with 2-3 notches on the vacuum power and frequency of vacuum suction at 20-25% RF power for 2 minutes and 1-2 notches at 60-65% RF power for 3 minutes</t>
  </si>
  <si>
    <t>8-4 minute rounds</t>
  </si>
  <si>
    <t>5-6 minute rounds</t>
  </si>
  <si>
    <t>! https://www.timeanddate.com/weather/usa/corona/historic</t>
  </si>
  <si>
    <t>89 F</t>
  </si>
  <si>
    <t>Woke up at 630 am. HA still there but less, had 2 cups of coffee and much better, did grocery shopping, had 2 eggs over easy/medium (2 eggs: calories 140, total fat 10 g of which saturated fat is 3 g, cholesterol is 370 mg, sodium is 140 mg, protein 12 g, no carbs, vitamin D 2 mcg, iron 2 mg, calcium 56 mg, potassium 138 mg) with 1 1/2 corn quesadillas gluten free with low skim mozzarella cheese (tortillas 2 servings is 4 tortillas, this is 3 tortillas: calories 150, polyunsaturated fat 1 g, sodium 30 mg, carbs 14 g includes fiber 3 g and sugar 3 g, protein 3 g, calcium 30 mg, iron 0.4 mg, potassium 120 mg; low skim mozzarella cheese 2 servings is 1/2 cup total: calories 160, fat 10 g includes saturated fat 7 g, cholesterol 30 mg, sodium 380 mg, carbs 2 g no fiber or sugars, protein 12 g, calcium 386 mg, no iron or potassium)  around 8:45 am before workout, after workout a grapefruit that was ruby red like others  (serving sz 1/2 med grapefruit already doubled: calories 92, carbs 24 g includes fiber 2 g and sugars 18 g, protein 2 g, vit A 12%, vit C 156%, iron 2%, calcium2%) and an orange  (calories 162, sodium 4 mg, carbs 42 g including fiber 8 g and sugars 28 g, protein 4 g, vit A 16%, vit C 326%, calcium 14%, iron 2%). Had 2  bottles of water while working out. For lunch after getting more goceries from Sprouts and Walgreens for home supplies and fuel, around 1 pm had a cup and a half of the boxed resealable Pacifa brand Ginger and Carrot soup  (1 servings has calories 130, total fat 3 g includes saturated fat 2 g, sodium 670 mg, carbs 19 g includes fiber 3 g and sugars 11 g, vitamin A 90%, calcium 4%, iron 4%) with 2 tbls sourcream  (calories 60, total fat 5 g includes saturated fat 3.5 g and monounsaturated fat 1.5 g, cholesterol 20 mg, calcium 40 mg, sodium 15 mg, carbs 2g includes sugars 2 g, protein 1 g, no iron or potassium) and a corn tortilla quesadilla with low skim mozzarella cheese  (tortillas 1 serving is 2 tortillas or 1 quesadilla: calories 100, polyunsaturated fat 1 g, sodium 20 mg, carbs 21 g includes fiber 2 g and sugar 2 g, protein 2 g, calcium 20 mg, iron 0.3 mg, potassium 80 mg; low skim mozzarella cheese 2 servings is 1/2 cup tota this is 1/2 servingl: calories 80, fat 5 g includes saturated fat 3.5 g, cholesterol 15 mg, sodium 190 mg, carbs 1 g no fiber or sugars, protein 6 g, calcium 193 mg, no iron or potassium), and a few blackberries and blueberries from Sprouts that were washed. Started noticing some of the headache coming back, could be coffee not enough as weened yesterday from 3rd cup or water not enough, as only a few cups of ice consumed. At 4 pm shrimp chilli lime spicy ramen (1 cup is 1 serving: calories 290, fat 12 g includes saturated fat 6 g, cholesterol 1%, sodium 1150 mg 50%, carbs 39 g includes fiber 3 g and sugars 2 g, protein 7 g, iron 2.8 mg 15%, potassium 180 mg 4%), at 4:25 pm cup of ginger cashew carrot soup   (1 servings has calories 130, total fat 3 g includes saturated fat 2 g, sodium 670 mg, carbs 19 g includes fiber 3 g and sugars 11 g, vitamin A 90%, calcium 4%, iron 4%) with 2 slices all grain wheat bread toasted  (serving sz 1 slice this is 1.5Xserving: calories 210, total fat 5.25 g includes saturated fat 0.75 g and polyunsaturated fat 0.75 g and monounsaturated fat 3 g, sodium 270 g, carbs 31.5 g includes fiber 6 g and sugars 4.5 g, protein 6 g, iron 15%, vit E 150%). Half hour nap at 3:30 pm, have two appointments at 5:30 pm in Eastvale and one at 7:30 pm in Riverside. at 930 pm ate a corn quesadilla with low skim mozz cheese  (tortillas 1 serving is 2 tortillas or 1 quesadilla: calories 100, polyunsaturated fat 1 g, sodium 20 mg, carbs 21 g includes fiber 2 g and sugar 2 g, protein 2 g, calcium 20 mg, iron 0.3 mg, potassium 80 mg; low skim mozzarella cheese 2 servings is 1/2 cup tota this is 1/2 servingl: calories 80, fat 5 g includes saturated fat 3.5 g, cholesterol 15 mg, sodium 190 mg, carbs 1 g no fiber or sugars, protein 6 g, calcium 193 mg, no iron or potassium) with paprika and cinnamon and it was good. light mensa spotting noticed when peeing after workout with cardio kickboxing and weights noted due to it occuring only after next workout 2 days later, but was gone after shower. Got plenty of sleep after 10 pm.</t>
  </si>
  <si>
    <t>Woke up at 530 am. two quesadillas corn gluten free with low skim mozzarella (tortillas 2 servings is 4 tortillas: calories 200, polyunsaturated fat 1 g, sodium 40 mg, carbs 42 g includes fiber 4 g and sugar 4 g, protein 4g, calcium 40 mg, iron 0.6 mg, potassium 160 mg; low skim mozzarella cheese 2 servings is 1/2 cup total: calories 160, fat 10 g includes saturated fat 7 g, cholesterol 30 mg, sodium 380 mg, carbs 2 g no fiber or sugars, protein 12 g, calcium 386 mg, no iron or potassium) and 1 cup of cashew ginger carrot soup (1 servings has calories 130, total fat 3 g includes saturated fat 2 g, sodium 670 mg, carbs 19 g includes fiber 3 g and sugars 11 g, vitamin A 90%, calcium 4%, iron 4%) with 2 tbls sourcream  (calories 60, total fat 5 g includes saturated fat 3.5 g and monounsaturated fat 1.5 g, cholesterol 20 mg, calcium 40 mg, sodium 15 mg, carbs 2g includes sugars 2 g, protein 1 g, no iron or potassium) before work at 7 am, at 830am a grapefruit (serving sz 1/2 med grapefruit already doubled: calories 92, carbs 24 g includes fiber 2 g and sugars 18 g, protein 2 g, vit A 12%, vit C 156%, iron 2%, calcium2%), at 1130 am a cup and a half of blackberries (serving sz 1 cup: calories 60, fat 0.5 g, carbs 13 g includes fiber 7 g and sugars 7 g, protein 2 g, calcium 41 mg, iron 1 mg, potassium 230 mg) and blueberries (serving size 1/2 cup: calories 42, sodium 1 mg, carbs 11 g includes fiber 2 g and sugars 7 g, protein 1 g, calcium 4 mg, iron 1 mg, potassium 57 mg), an orange (calories 162, sodium 4 mg, carbs 42 g including fiber 8 g and sugars 28 g, protein 4 g, vit A 16%, vit C 326%, calcium 14%, iron 2%), a cup of cashew ginger carrot soup (1 servings has calories 130, total fat 3 g includes saturated fat 2 g, sodium 670 mg, carbs 19 g includes fiber 3 g and sugars 11 g, vitamin A 90%, calcium 4%, iron 4%), cup of shrimp lime chilli ramen (1 cup is 1 serving: calories 290, fat 12 g includes saturated fat 6 g, cholesterol 1%, sodium 1150 mg 50%, carbs 39 g includes fiber 3 g and sugars 2 g, protein 7 g, iron 2.8 mg 15%, potassium 180 mg 4%), 345pm 2 corn quesadillas corn gluten free with low skim mozzarella  (tortillas 2 servings is 4 tortillas: calories 200, polyunsaturated fat 1 g, sodium 40 mg, carbs 42 g includes fiber 4 g and sugar 4 g, protein 4g, calcium 40 mg, iron 0.6 mg, potassium 160 mg; low skim mozzarella cheese 2 servings is 1/2 cup total: calories 160, fat 10 g includes saturated fat 7 g, cholesterol 30 mg, sodium 380 mg, carbs 2 g no fiber or sugars, protein 12 g, calcium 386 mg, no iron or potassium) and 1 cup of roasted red pepper tomato soap  (serving size 1 cup: calories 120, fat 3 g includes saturated fat 2 g, cholesterol 10 mg, sodium 330 mg, carbs 19 g includes fiber 2 g and sugars 14 g, protein 6 g, calcium 144 mg, potassium 514 mg, iron 1 mg). 2 eggs over easy  (2 eggs: calories 140, total fat 10 g of which saturated fat is 3 g, cholesterol is 370 mg, sodium is 140 mg, protein 12 g, no carbs, vitamin D 2 mcg, iron 2 mg, calcium 56 mg, potassium 138 mg) and 2 slices dill toast (serving size 1 slice  doubled already for 2 slices: calories 180, fat 2 g no saturated/trans/poly/mono fats, sodium 380 mg, carbs 32 g includes fiber 2 g and sugars 2 g, protein 6 g, calcium 70 mg, iron 2 mg, potassium 80 mg) 5 pm and a grapefruit (serving sz 1/2 med grapefruit already doubled: calories 92, carbs 24 g includes fiber 2 g and sugars 18 g, protein 2 g, vit A 12%, vit C 156%, iron 2%, calcium2%) at 5:30 pm, shrimp chilli lime flavored ramen (1 cup is 1 serving: calories 290, fat 12 g includes saturated fat 6 g, cholesterol 1%, sodium 1150 mg 50%, carbs 39 g includes fiber 3 g and sugars 2 g, protein 7 g, iron 2.8 mg 15%, potassium 180 mg 4%) at 7 pm, sleep at 8:30 pm</t>
  </si>
  <si>
    <t>Woke up at 630 am. 2 cups coffee, two eggs over easy (2 eggs: calories 140, total fat 10 g of which saturated fat is 3 g, cholesterol is 370 mg, sodium is 140 mg, protein 12 g, no carbs, vitamin D 2 mcg, iron 2 mg, calcium 56 mg, potassium 138 mg), dill toast 2 slices (serving size 1 slice  doubled already for 2 slices: calories 180, fat 2 g no saturated/trans/poly/mono fats, sodium 380 mg, carbs 32 g includes fiber 2 g and sugars 2 g, protein 6 g, calcium 70 mg, iron 2 mg, potassium 80 mg), 1 whole small avocado  (serving sz 1 avocado ate other half later: calories 322, fat 29 g includes saturated fat 4 g, sodium 14 mg, carbs 17 g includes fiber 13 g and sugars 1 g, protein 4 g, vit A 6%, vit C 33%, calcium 2%, iron 6% ) before working out 30-45 minutes, 3 bottles of water while working out, a grapefruit  (serving sz 1/2 med grapefruit already doubled: calories 92, carbs 24 g includes fiber 2 g and sugars 18 g, protein 2 g, vit A 12%, vit C 156%, iron 2%, calcium2%), and an orange (calories 162, sodium 4 mg, carbs 42 g including fiber 8 g and sugars 28 g, protein 4 g, vit A 16%, vit C 326%, calcium 14%, iron 2%) after workout, and a few green grapes and blackberries. Dinner at work 545 pm a handful of mixed green grapes  (serving sz 10 grapes: calories 8.5, sodium 1 mg, carbs 9 includes fiber 0 and sugars 2 g, protein 0 g, vit A 1%, vit C 2%, iron 1%), strawberries (serving size 1/2 cup: calories 25, carbs 6g includes fiber 1 g and sugars 4 g, vit C 70%), and blackberries (serving sz 1 cup: calories 60, fat 0.5 g, carbs 13 g includes fiber 7 g and sugars 7 g, protein 2 g, calcium 41 mg, iron 1 mg, potassium 230 mg) about 2 cups in a plastic baggy, orange (calories 162, sodium 4 mg, carbs 42 g including fiber 8 g and sugars 28 g, protein 4 g, vit A 16%, vit C 326%, calcium 14%, iron 2%), a cup of tomato soup (serving size 1 cup: calories 120, fat 3 g includes saturated fat 2 g, cholesterol 10 mg, sodium 330 mg, carbs 19 g includes fiber 2 g and sugars 14 g, protein 6 g, calcium 144 mg, potassium 514 mg, iron 1 mg), and 2 slices of dill bread (serving size 1 slice  doubled already for 2 slices: calories 180, fat 2 g no saturated/trans/poly/mono fats, sodium 380 mg, carbs 32 g includes fiber 2 g and sugars 2 g, protein 6 g, calcium 70 mg, iron 2 mg, potassium 80 mg). 10:45pm 2 quesadillas gluten free corn tortilla with mozz low skim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cinnamon and paprika. Light mensa spotting noticed and noted after workout same as couple days ago but gone after shower. got plenty of sleep this night.Went to bed around 11 pm</t>
  </si>
  <si>
    <t>Woke up at 630 am. 2 cups of coffee, 2 egss with almond milk scrambled (2 eggs: calories 140, total fat 10 g of which saturated fat is 3 g, cholesterol is 370 mg, sodium is 140 mg, protein 12 g, no carbs, vitamin D 2 mcg, iron 2 mg, calcium 56 mg, potassium 138 mg) with almond milk (serving 1 cup used 1/4 cup so this is 1/4 serving nutrition facts: calories 8 g, total fat .6 g of monounsaturated fat .4 g, sodium 40 mg, carbs .25 g, protein .25 g, vit D 1.25 mcg, calcium 100 mg, iron .1 mg, potassium 9 mg, vit A 23 mcg), 1 1/2 slices of 12 grain wheat bread  (serving sz 1 slice this is 1.5Xserving: calories 210, total fat 5.25 g includes saturated fat 0.75 g and polyunsaturated fat 0.75 g and monounsaturated fat 3 g, sodium 270 g, carbs 31.5 g includes fiber 6 g and sugars 4.5 g, protein 6 g, iron 15%, vit E 150%) around 7 am, at work around 1130 am was my lunch early with about 40 green grapes (serving sz 10 grapes this is X4: calories 34, sodium 4 mg, carbs 36 includes fiber 0 and sugars 8 g, protein 0 g, vit A 1%, vit C 9%, iron 1%), about 10 strawberries (serving size 1/2 cup: calories 25, carbs 6g includes fiber 1 g and sugars 4 g, vit C 70%), and about 16 blackberries (serving sz 1 cup: calories 60, fat 0.5 g, carbs 13 g includes fiber 7 g and sugars 7 g, protein 2 g, calcium 41 mg, iron 1 mg, potassium 230 mg), a grapefruit (serving sz 1/2 med grapefruit already doubled: calories 92, carbs 24 g includes fiber 2 g and sugars 18 g, protein 2 g, vit A 12%, vit C 156%, iron 2%, calcium2%), an orange (calories 162, sodium 4 mg, carbs 42 g including fiber 8 g and sugars 28 g, protein 4 g, vit A 16%, vit C 326%, calcium 14%, iron 2%) , and a cup of shrimp ramen  (1 cup is 1 serving: calories 290, fat 12 g includes saturated fat 6 g, cholesterol 1%, sodium 1150 mg 50%, carbs 39 g includes fiber 3 g and sugars 2 g, protein 7 g, iron 2.8 mg 15%, potassium 180 mg 4%). At home around 5 pm had a cup of roasted tomato soup (serving size 1 cup: calories 120, fat 3 g includes saturated fat 2 g, cholesterol 10 mg, sodium 330 mg, carbs 19 g includes fiber 2 g and sugars 14 g, protein 6 g, calcium 144 mg, potassium 514 mg, iron 1 mg) with 2 slices of toasted dill bread (serving size 1 slice  doubled already for 2 slices: calories 180, fat 2 g no saturated/trans/poly/mono fats, sodium 380 mg, carbs 32 g includes fiber 2 g and sugars 2 g, protein 6 g, calcium 70 mg, iron 2 mg, potassium 80 mg) before the workout, and 2 eggs over medium (2 eggs: calories 140, total fat 10 g of which saturated fat is 3 g, cholesterol is 370 mg, sodium is 140 mg, protein 12 g, no carbs, vitamin D 2 mcg, iron 2 mg, calcium 56 mg, potassium 138 mg) with 2 slices of dill toast  (serving size 1 slice  doubled already for 2 slices: calories 180, fat 2 g no saturated/trans/poly/mono fats, sodium 380 mg, carbs 32 g includes fiber 2 g and sugars 2 g, protein 6 g, calcium 70 mg, iron 2 mg, potassium 80 mg) and a small avocado  (serving sz 1 avocado: calories 322, fat 29 g includes saturated fat 4 g, sodium 14 mg, carbs 17 g includes fiber 13 g and sugars 1 g, protein 4 g, vit A 6%, vit C 33%, calcium 2%, iron 6% ) with parts of it taken out due to blackening spots. Only 6 hours of sleep from 11:15pm to 6:15 pm but woke up early because Shane arrived early around 545 am. Went to bed at 9 pm tonight.</t>
  </si>
  <si>
    <t>Woke up at 5 am. 2 cups of coffee, 2 eggs over medium (calories 140, total fat 10 g of which saturated fat is 3 g, cholesterol is 370 mg, sodium is 140 mg, protein 12 g, no carbs, vitamin D 2 mcg, iron 2 mg, calcium 56 mg, potassium 138 mg), 1/2 lg avocado ripe (serving sz 1 avocado ate other half later: calories 322, fat 29 g includes saturated fat 4 g, sodium 14 mg, carbs 17 g includes fiber 13 g and sugars 1 g, protein 4 g, vit A 6%, vit C 33%, calcium 2%, iron 6% ), paprika to season at 6:30 am (starting gluten free today, no wheat, rye, or barely so avoiding bread and ramen from my diet), 1 organic reg banana (serving 7-7 7/8", calories 105, sodium 1 mg, carbs 27 g includes fiber 3 g and sugars 14 g, protein 1 g, vitamin A 2%, Vitamin C 17%, calcium 1% of daily recc. or 5.9 mg Google, iron 2% of daily recomm. or 0.3 mg Google, potassium 450 mg) before work at 7:40 am, a couple cups mixed up of pineapples  (serving size 1 cup: calories 25, carbs 6 g includes fiber 1 g and sugars 4 g, vit C 70%),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freshly cut three days ago, a Naval orange (calories 81, sodium 2 mg, carbs 21 g including fiber 4 g and sugars 14 g, protein 2 g, vit A 8%, vit C 163%, calcium 7%, iron 1%), 2 corn tortilla tacos (serving size 3 shells: calories 160, total fat 7 g including saturated fat 2 g, carbs 21 g of fiber 2 g and sugars 1 g, protein 2 g, calcium 15 mg, iron 1 mg, potassium 93 mg) with avocado from other half of avocado with paprika, a lg danjou pear (calories 57, potassium 116 mg, sodium 1 mg, carbs 15 g of fiber 3 g and sugars 10 g, vit A 0.5%, vit C 7%, iron 1%, protein 0.36%) at 12 pm. Went home at 1 pm because it wasn't booked. Worked out earlier than planned, but stretches interrupted by neighbors toxic motorcycle fumes. Ate a banana (serving 7-7 7/8", calories 105, sodium 1 mg, carbs 27 g includes fiber 3 g and sugars 14 g, protein 1 g, vitamin A 2%, Vitamin C 17%, calcium 1% of daily recc. or 5.9 mg Google, iron 2% of daily recomm. or 0.3 mg Google, potassium 450 mg) and watched Better Things on Netflix and ate a bowl of edamame pasta  [(4 servings per box with 1 serving: calories 180, total fat 3.5 g no saturated fat or trans fat, sodium and cholesterol 0 mg, carbs 20 g includes fiber 13 g and sugars 3 g, protein 24 g) and soy protein meatballs (4 servings per container and 1 serving is 3 meatballs: calories 220, total fat 13 g including saturated fat at 7 g, sodium 570 mg, carbs 12 g includes fiber fiber 3 g and sugars 3 g, protein 17 g, calcium 200 mg, iron 3 mg, potassium 430 mg) with Del Monte tomato 4 cheese sauce (serving size 1/2 cup and 5 in the jar, calories 60, fat 1 g no saturated fat, cholesterol 0 mg, sodium 420 mg, carbs 12 g includes fiber 2 g and sugars 10, protein 2 g, calcium 31 mg, iron 1 mg or 6%, potassium 310 mg) and broccoli (serving 1 cup, calories 31, fat 0.34 g of which saturated fat is 0.04 g, sodium 30.03 mg, potassium 287 mg, carbs 6 g includes fiber 2 g and sugars 2 g, protein 3 g, calcium 43 mg, iron 0.66 mg, vitamin C 81 mg, vitamin A 567 IU) and red pepper (calories 37 g, total fat 0 g, cholesterol 0 mg, sodium 5 mg, carbs 7 g includes fiber 2 g and sugars 5 g, protein 1 g, vit A 75%, vit C 235%, calcium 1%, iron 3%)] and a cup and a half of blueberries, blackberries, and strawberries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but didn't eat anything right before bed unlike normally done. Sleep by 8:30 pm, woke up at 12 am stayed in bed till 130 am and moved vehicles and stayed up till tired before work.</t>
  </si>
  <si>
    <t>Woke up at 630 am. 2 cups of coffee, 2 corn tortilla quesadillas usual style mozz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cinn and paprika,  1 cup of tomato roasted pepper soup (serving size 1 cup: calories 120, fat 3 g includes saturated fat 2 g, cholesterol 10 mg, sodium 330 mg, carbs 19 g includes fiber 2 g and sugars 14 g, protein 6 g, calcium 144 mg, potassium 514 mg, iron 1 mg) with tbls sour cream (serving size is 2 tbls: calories 60, total fat 5 g includes saturated fat 3.5 g and monounsaturated fat 1.5 g, cholesterol 20 mg, calcium 40 mg, sodium 15 mg, carbs 2g includes sugars 2 g, protein 1 g, no iron or potassium) before work around 730 AM, at 1115 AM had a pear (calories 57, potassium 116 mg, sodium 1 mg, carbs 15 g of fiber 3 g and sugars 10 g, vit A 0.5%, vit C 7%, iron 1%, protein 0.36%), at 1230 pm had two oranges (calories 162, sodium 4 mg, carbs 42 g including fiber 8 g and sugars 28 g, protein 4 g, vit A 16%, vit C 326%, calcium 14%, iron 2%)and a ruby red grapefruit (serving sz 1/2 med grapefruit already doubled: calories 92, carbs 24 g includes fiber 2 g and sugars 18 g, protein 2 g, vit A 12%, vit C 156%, iron 2%, calcium2%), at 315 PM had one slice of 12 grain wheat bread (serving sz 1 slice: calories 140, total fat 3.5 g includes saturated fat 0.5 g and polyunsaturated fat .5g and monounsaturated fat 2 g, sodium 180 g, carbs 21 g includes fiber 4 g and sugars 3 g, protein 4 g, iron 10%, vit E 100%) on the way home, at home had a corn tortilla quesadilla the usual way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with a cup of roasted red pepper tomato soup (serving size 1 cup: calories 120, fat 3 g includes saturated fat 2 g, cholesterol 10 mg, sodium 330 mg, carbs 19 g includes fiber 2 g and sugars 14 g, protein 6 g, calcium 144 mg, potassium 514 mg, iron 1 mg) with tbls sour cream (serving size is 2 tbls: calories 60, total fat 5 g includes saturated fat 3.5 g and monounsaturated fat 1.5 g, cholesterol 20 mg, calcium 40 mg, sodium 15 mg, carbs 2g includes sugars 2 g, protein 1 g, no iron or potassium) before cleaning the outside gym and mopping the house floor, then after getting back from Winco ate 3 omelet scrambled eggs (3 eggs: calories 210, total fat 15 g of which saturated fat is 4.5 g, cholesterol is 555 mg, sodium is 210 mg, protein 18 g, no carbs, vitamin D 3 mcg, iron 3 mg, calcium 84 mg, potassium 207 mg) with almond milk (serving 1 cup used 1/4 cup so this is 1/4 serving nutrition facts: calories 8 g, total fat .6 g of monounsaturated fat .4 g, sodium 40 mg, carbs .25 g, protein .25 g, vit D 1.25 mcg, calcium 100 mg, iron .1 mg, potassium 9 mg, vit A 23 mcg), 2 slices of Dill toast (serving size 1 slice  doubled already for 2 slices: calories 180, fat 2 g no saturated/trans/poly/mono fats, sodium 380 mg, carbs 32 g includes fiber 2 g and sugars 2 g, protein 6 g, calcium 70 mg, iron 2 mg, potassium 80 mg), and 1 small fresh avocado (serving sz 1 avocado ate other half later: calories 322, fat 29 g includes saturated fat 4 g, sodium 14 mg, carbs 17 g includes fiber 13 g and sugars 1 g, protein 4 g, vit A 6%, vit C 33%, calcium 2%, iron 6% ) about 7:30 pm, and had a cup of ramen shrimp emptied out chilli lime like other cup of noodle flavors  (1 cup is 1 serving: calories 290, fat 12 g includes saturated fat 6 g, cholesterol 1%, sodium 1150 mg 50%, carbs 39 g includes fiber 3 g and sugars 2 g, protein 7 g, iron 2.8 mg 15%, potassium 180 mg 4%) at 8 pm. Went to sleep around 9 pm.</t>
  </si>
  <si>
    <t>Woke up at 630 am. 2 cups of coffee, 1 1/2 eggs over medium (pups ate other 1/2) (calories 140, total fat 10 g of which saturated fat is 3 g, cholesterol is 370 mg, sodium is 140 mg, protein 12 g, no carbs, vitamin D 2 mcg, iron 2 mg, calcium 56 mg, potassium 138 mg), 2 slices of dill toast (serving size 1 slice  doubled already for 2 slices: calories 180, fat 2 g no saturated/trans/poly/mono fats, sodium 380 mg, carbs 32 g includes fiber 2 g and sugars 2 g, protein 6 g, calcium 70 mg, iron 2 mg, potassium 80 mg) , 1 small ripe fresh avocado (serving sz 1 avocado ate other half later: calories 322, fat 29 g includes saturated fat 4 g, sodium 14 mg, carbs 17 g includes fiber 13 g and sugars 1 g, protein 4 g, vit A 6%, vit C 33%, calcium 2%, iron 6% ), 1 orange (calories 81, sodium 2 mg, carbs 21 g including fiber 4 g and sugars 14 g, protein 2 g, vit A 8%, vit C 163%, calcium 7%, iron 1%) at 8 am, after workout and lipocavitation I ate 2 corn tortilla quesadillas same style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with 1 1/2 cup of cashew ginger carrot soup from Pacific brand (2 servings has calories 260, total fat 6 g includes saturated fat 4 g, sodium 1340 mg, carbs 38 g includes fiber 6 g and sugars 22 g, vitamin A 180%, calcium 8%, iron 8%) and 2 tbls sourcream (calories 60, total fat 5 g includes saturated fat 3.5 g and monounsaturated fat 1.5 g, cholesterol 20 mg, calcium 40 mg, sodium 15 mg, carbs 2g includes sugars 2 g, protein 1 g, no iron or potassium), 2pm on the way to work to pick up a 3-9 shift had a pear (calories 57, potassium 116 mg, sodium 1 mg, carbs 15 g of fiber 3 g and sugars 10 g, vit A 0.5%, vit C 7%, iron 1%, protein 0.36%), and an orange (calories 81, sodium 2 mg, carbs 21 g including fiber 4 g and sugars 14 g, protein 2 g, vit A 8%, vit C 163%, calcium 7%, iron 1%) when arriving early. At 630 pm had a cup of chile lime shrimp ramen noodles (1 cup is 1 serving: calories 290, fat 12 g includes saturated fat 6 g, cholesterol 1%, sodium 1150 mg 50%, carbs 39 g includes fiber 3 g and sugars 2 g, protein 7 g, iron 2.8 mg 15%, potassium 180 mg 4%), a grapefruit (serving sz 1/2 med grapefruit already doubled: calories 92, carbs 24 g includes fiber 2 g and sugars 18 g, protein 2 g, vit A 12%, vit C 156%, iron 2%, calcium2%), and an orange (calories 81, sodium 2 mg, carbs 21 g including fiber 4 g and sugars 14 g, protein 2 g, vit A 8%, vit C 163%, calcium 7%, iron 1%),at 945 pm had 1 1/2 cups of ginger cashew carrot soup from pacific brand (calories 60, total fat 5 g includes saturated fat 3.5 g and monounsaturated fat 1.5 g, cholesterol 20 mg, calcium 40 mg, sodium 15 mg, carbs 2g includes sugars 2 g, protein 1 g, no iron or potassium) and 2 slices of Dill toast (serving size 1 slice  doubled already for 2 slices: calories 180, fat 2 g no saturated/trans/poly/mono fats, sodium 380 mg, carbs 32 g includes fiber 2 g and sugars 2 g, protein 6 g, calcium 70 mg, iron 2 mg, potassium 80 mg). Went to bed around 1030 pm</t>
  </si>
  <si>
    <t>woke up at 3:45 am and couldn't go back to sleep. A couple cups of coffee. I have to finish the ME annual trainings by tomorrow. A reg sz organic banana  (serving 7-7 7/8", calories 105, sodium 1 mg, carbs 27 g includes fiber 3 g and sugars 14 g, protein 1 g, vitamin A 2%, Vitamin C 17%, calcium 1% of daily recc. or 5.9 mg Google, iron 2% of daily recomm. or 0.3 mg Google, potassium 450 mg) at 630 AM, at 7 am had a serving of pineapple fresh from few days back (serving size 1 cup: calories 25, carbs 6 g includes fiber 1 g and sugars 4 g, vit C 70%), then grocery shopping at Winco. At 815 am had 2 cruncy tacos (serving size 3 shells: calories 160, total fat 7 g including saturated fat 2 g, carbs 21 g of fiber 2 g and sugars 1 g, protein 2 g, calcium 15 mg, iron 1 mg, potassium 93 mg) with 1 whole small avocado (serving sz 1 avocado ate other half later: calories 322, fat 29 g includes saturated fat 4 g, sodium 14 mg, carbs 17 g includes fiber 13 g and sugars 1 g, protein 4 g, vit A 6%, vit C 33%, calcium 2%, iron 6% ), paprika and serving of jack cheese (jack cheese 2 servings is 2/3 cup total: calories 200, saturated fat 9 g, cholesterol 50 mg, sodium 340 mg, carbs 2 g no fiber or sugars, protein 12 g, calcium 382 mg no iron or potassium). Worked out then made pasta with [barilla red lentil rotini noodles (serving sz 2 - 3.5 oz and 4.5 per carton: calories for 3.5 oz is 330, fat 2.5 g includes saturated fat 0.5 g, carbs 61 g includes fiber 11 g with soluble 6 g and insoluble fiber 5 g and sugars 2 g, protein 23 g, calcium 31 mg, iron 6 mg, potassium 925 mg, no sodium or cholesterol) with priano 4 cheese sauce(serving size 1/2 cup and 5 in the jar, calories 90, fat 3.5 g includes saturated fat 1 g, cholesterol 5 mg, sodium 460 mg, carbs 12 g includes fiber 3 g and sugars 8, protein 3 g, calcium 80 mg, iron 0.9 mg or 6%, potassium 520 mg), beyond meat (serving size 4 oz: calories 250, fat 18 g including saturated fat 6 g, sodium 390 mg, potassium 300 mg, carbs 3g includes fiber 2 g and sugar 0 g, protein 20 g, calcium 8%, iron 25%), 1 broccoli crown chopped (serving 1 cup: calories 31, fat 0.34 g of which saturated fat is 0.04 g, sodium 30.03 mg, potassium 287 mg, carbs 6 g includes fiber 2 g and sugars 2 g, protein 3 g, calcium 43 mg, iron 0.66 mg, vitamin C 81 mg, vitamin A 567 IU) and 1 red bell pepper (1 red bell pepper: calories 37 g, total fat 0 g, cholesterol 0 mg, sodium 5 mg, carbs 7 g includes fiber 2 g and sugars 5 g, protein 1 g, vit A 75%, vit C 235%, calcium 1%, iron 3%)] and ate a bowl of it. It was delicious. Had an orange (calories 81, sodium 2 mg, carbs 21 g including fiber 4 g and sugars 14 g, protein 2 g, vit A 8%, vit C 163%, calcium 7%, iron 1%) at 1 pm. at 120 pm had a cup or handful of chex cereal (serving sz 1 1/4 cups: calories 150, fat 1 g no trans/saturated/polyunsaturated/monounsaturated, sodium 280 mg, carbs 33 g includes fiber 2 g and added sugars 4 g, protein 3 g, vit D 2 mcg, calcium 130 mg, iron 11 mg, vit A 10%, vit C 10%) as a snack. At 4 pm had 2 corn tortilla quesadillas with mozzarella low skim cheese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as made at beginning of diet and a cup of tomato roasted red pepper soup from Pacific brand  (serving size 1 cup: calories 120, fat 3 g includes saturated fat 2 g, cholesterol 10 mg, sodium 330 mg, carbs 19 g includes fiber 2 g and sugars 14 g, protein 6 g, calcium 144 mg, potassium 514 mg, iron 1 mg) with a small avocado  (serving sz 1 avocador: calories 322, fat 29 g includes saturated fat 4 g, sodium 14 mg, carbs 17 g includes fiber 13 g and sugars 1 g, protein 4 g, vit A 6%, vit C 33%, calcium 2%, iron 6% ). At 5 pm a banana reg size not organic (serving 7-7 7/8", calories 105, sodium 1 mg, carbs 27 g includes fiber 3 g and sugars 14 g, protein 1 g, vitamin A 2%, Vitamin C 17%, calcium 1% of daily recc. or 5.9 mg Google, iron 2% of daily recomm. or 0.3 mg Google, potassium 450 mg) purchased at Winco. went to bed around 8 pm after emailing a guy for Shane.</t>
  </si>
  <si>
    <r>
      <t xml:space="preserve">woke up around 530 am.Lower right side was hurting again at night but not as bas as the other night.  Had a very large BM if a small BM is 1/2 lb, a reg BM is 1 lb, a lg BM is 2 lb, then this was a 3 lb BM and lower right pain went away. 2 cups of coffee. 2 corn tortilla quesadillas with jack cheese and paprika (tortillas 2 servings is 4 tortillas: calories 200, polyunsaturated fat 1 g, sodium 40 mg, carbs 42 g includes fiber 4 g and sugar 4 g, protein 4 g, calcium 40 mg, iron 0.6 mg, potassium 160 mg; jack cheese 2 servings is 2/3 cup total: calories 200, saturated fat 9 g, cholesterol 50 mg, sodium 340 mg, carbs 2 g no fiber or sugars, protein 12 g, calcium 382 mg no iron or potassium). Worked out around 930 pm, finished at 1130 am. Then had 2 eggs over medium fried in olive oil  (calories 140, total fat 10 g of which saturated fat is 3 g, cholesterol is 370 mg, sodium is 140 mg, protein 12 g, no carbs, vitamin D 2 mcg, iron 2 mg, calcium 56 mg, potassium 138 mg) as usual and 2 corn tortilla quesadillas the same as this morning (tortillas 2 servings is 4 tortillas: calories 200, polyunsaturated fat 1 g, sodium 40 mg, carbs 42 g includes fiber 4 g and sugar 4 g, protein 4 g, calcium 40 mg, iron 0.6 mg, potassium 160 mg; jack cheese 2 servings is 2/3 cup total: calories 200, saturated fat 9 g, cholesterol 50 mg, sodium 340 mg, carbs 2 g no fiber or sugars, protein 12 g, calcium 382 mg no iron or potassium) and 2 eggs (calories 140, total fat 10 g of which saturated fat is 3 g, cholesterol is 370 mg, sodium is 140 mg, protein 12 g, no carbs, vitamin D 2 mcg, iron 2 mg, calcium 56 mg, potassium 138 mg) around 1230 pm. Did laundry, swept and mopped floors and wiped down some counter tops, washed the rugs in bathroom and laundry room, washed the covers to bed and changed the fitted sheet between 1245 pm and 240 pm. Had a reg sz organic banana (serving 7-7 7/8", calories 105, sodium 1 mg, carbs 27 g includes fiber 3 g and sugars 14 g, protein 1 g, vitamin A 2%, Vitamin C 17%, calcium 1% of daily recc. or 5.9 mg Google, iron 2% of daily recomm. or 0.3 mg Google, potassium 450 mg) at 240 pm. At 315 pm had a can of Simply Pure organic lentil soup (5 g non-saturated fat, sodium 1670 mg, calories 340, protein 17 g, carbs 57 g includes fiber 16g and sugars 5g, calcium 90 mg, iron 6.7 mg, potassium 760 mg) from Aldis with 2 tbls Winco sour cream (calories 60, total fat 5 g includes saturated fat 3.5 g and monounsaturated fat 1.5 g, cholesterol 20 mg, calcium 40 mg, sodium 15 mg, carbs 2g includes sugars 2 g, protein 1 g, no iron or potassium). Around 5 pm had a cup pineapple (serving size 1 cup: calories 25, carbs 6 g includes fiber 1 g and sugars 4 g, vit C 70%), then at 6 pm had the last bowl of the edemame pasta [(4 servings per box with 1 serving: calories 180, total fat 3.5 g no saturated fat or trans fat, sodium and cholesterol 0 mg, carbs 20 g includes fiber 13 g and sugars 3 g, protein 24 g) and soy protein meatballs (4 servings per container and 1 serving is 3 meatballs: calories 220, total fat 13 g including saturated fat at 7 g, sodium 570 mg, carbs 12 g includes fiber fiber 3 g and sugars 3 g, protein 17 g, calcium 200 mg, iron 3 mg, potassium 430 mg) with Del Monte tomato 4 cheese sauce (serving size 1/2 cup and 5 in the jar, calories 60, fat 1 g no saturated fat, cholesterol 0 mg, sodium 420 mg, carbs 12 g includes fiber 2 g and sugars 10, protein 2 g, calcium 31 mg, iron 1 mg or 6%, potassium 310 mg) and broccoli (serving 1 cup, calories 31, fat 0.34 g of which saturated fat is 0.04 g, sodium 30.03 mg, potassium 287 mg, carbs 6 g includes fiber 2 g and sugars 2 g, protein 3 g, calcium 43 mg, iron 0.66 mg, vitamin C 81 mg, vitamin A 567 IU) and red pepper (calories 37 g, total fat 0 g, cholesterol 0 mg, sodium 5 mg, carbs 7 g includes fiber 2 g and sugars 5 g, protein 1 g, vit A 75%, vit C 235%, calcium 1%, iron 3%)] with 1/3 cup Jack Cheese </t>
    </r>
    <r>
      <rPr>
        <b/>
        <sz val="11"/>
        <color theme="1"/>
        <rFont val="Calibri"/>
        <family val="2"/>
        <scheme val="minor"/>
      </rPr>
      <t>jack cheese 2 servings is 2/3 cup, 1/3 cup is half: calories 100, saturated fat 4.5 g, cholesterol 25 mg, sodium 170 mg, carbs 1 g no fiber or sugars, protein 6 g, calcium 191 mg no iron or potassium)</t>
    </r>
    <r>
      <rPr>
        <sz val="11"/>
        <color theme="1"/>
        <rFont val="Calibri"/>
        <family val="2"/>
        <scheme val="minor"/>
      </rPr>
      <t>. Went to bed around 10 pm.</t>
    </r>
  </si>
  <si>
    <r>
      <t xml:space="preserve">Woke up at 530 am. 2 cups of coffee, bowl of same pasta the last of the gluten free </t>
    </r>
    <r>
      <rPr>
        <u/>
        <sz val="11"/>
        <color theme="1"/>
        <rFont val="Calibri"/>
        <family val="2"/>
        <scheme val="minor"/>
      </rPr>
      <t>spaghetti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t>
    </r>
    <r>
      <rPr>
        <sz val="11"/>
        <color theme="1"/>
        <rFont val="Calibri"/>
        <family val="2"/>
        <scheme val="minor"/>
      </rPr>
      <t xml:space="preserve"> still good. Work 8:30 am 1/2 lg avocado(serving size is 1/2 avocado, calories 114, total fat 10 g includes saturated fat 1.5 g, sodium 5 mg, carbs 6 g includes sugars 5 g, protein 1 g, calcium 9 mg, iron 1 mg, potassium 345 mg) ripe no black organic over 2 slices dill toast (serving size 1 slice  doubled already for 2 slices: calories 180, fat 2 g no saturated/trans/poly/mono fats, sodium 380 mg, carbs 32 g includes fiber 2 g and sugars 2 g, protein 6 g, calcium 70 mg, iron 2 mg, potassium 80 mg) with paprika. Lunch at 1:15 pm had an orange (calories 81, sodium 2 mg, carbs 21 g including fiber 4 g and sugars 14 g, protein 2 g, vit A 8%, vit C 163%, calcium 7%, iron 1%), a lg organic banana the last of that batch still ripe (serving 7-7 7/8" these are large about 10"-11", calories 105, sodium 1 mg, carbs 27 g includes fiber 3 g and sugars 14 g, protein 1 g, vitamin A 2%, Vitamin C 17%, calcium 1% of daily recc. or 5.9 mg Google, iron 2% of daily recomm. or 0.3 mg Google, potassium 450 mg), about 2 cups of strawberries, blackberries, and blueberries fresh,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and about a serving of oats and honey gluten free from Cascadian Farm brand at Winco same oats ate a few days ago as a snack (serving size 2/3 cup: calories 270, fat 7 g includes saturated fat 1 g, sodium 55 mg, carbs 46 g includes fiber 3 g and added sugars 14 g, protein 6 g, iron 1.6 mg, potassium 150 mg). After work around 410pm had 20 ruffles zesty cheddar (serving size 28 g: calories 150, fat 8 g includes saturated fat 1 g, sodium 170 mg, carbs 17 g includes fiber 1 g and sugars 1 g, protein 2 g) approximately to occupy mind in traffic on Friday. Bought groceries at Sprouts, beyond and another brand of plant based meatballs for dinner with a couple red peppers and a couple stalks of broccoli. Worked out then made dinner with edamame noodles gluten free, Del Monte 4 cheese canned spaghetti sauce, red pepper, broccoli stalk, and oven baked meatballs plant based. A bowl of edamame pasta and plant based meatballs (soy protein)  [(4 servings per box with 1 serving: calories 180, total fat 3.5 g no saturated fat or trans fat, sodium and cholesterol 0 mg, carbs 20 g includes fiber 13 g and sugars 3 g, protein 24 g) and soy protein meatballs (4 servings per container and 1 serving is 3 meatballs: calories 220, total fat 13 g including saturated fat at 7 g, sodium 570 mg, carbs 12 g includes fiber fiber 3 g and sugars 3 g, protein 17 g, calcium 200 mg, iron 3 mg, potassium 430 mg) with Del Monte tomato 4 cheese sauce (serving size 1/2 cup and 5 in the jar, calories 60, fat 1 g no saturated fat, cholesterol 0 mg, sodium 420 mg, carbs 12 g includes fiber 2 g and sugars 10, protein 2 g, calcium 31 mg, iron 1 mg or 6%, potassium 310 mg) and broccoli (serving 1 cup, calories 31, fat 0.34 g of which saturated fat is 0.04 g, sodium 30.03 mg, potassium 287 mg, carbs 6 g includes fiber 2 g and sugars 2 g, protein 3 g, calcium 43 mg, iron 0.66 mg, vitamin C 81 mg, vitamin A 567 IU) and red pepper (calories 37 g, total fat 0 g, cholesterol 0 mg, sodium 5 mg, carbs 7 g includes fiber 2 g and sugars 5 g, protein 1 g, vit A 75%, vit C 235%, calcium 1%, iron 3%)] had a bowl after workout and cooking and baking it about 35 minutes at 8:30 pm. Went to bed at 930 pm</t>
    </r>
  </si>
  <si>
    <t>Woke up at 5 am. 2 cups of coffee, bowl of gluten free spaghetti with 4 cheese pasta sauce, beyond meat, broccoli, and red peppers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and an organic banana lg (serving 7-7 7/8" these are large about 10"-11", calories 105, sodium 1 mg, carbs 27 g includes fiber 3 g and sugars 14 g, protein 1 g, vitamin A 2%, Vitamin C 17%, calcium 1% of daily recc. or 5.9 mg Google, iron 2% of daily recomm. or 0.3 mg Google, potassium 450 mg). At work at 8:45 am had small mixed baggie of blueberries, blackberries and strawberries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at 1120 am had a lg danjou pear (calories 57, potassium 116 mg, sodium 1 mg, carbs 15 g of fiber 3 g and sugars 10 g, vit A 0.5%, vit C 7%, iron 1%, protein 0.36%) , 1 1/2 cups of ginger carrot cashew soup (2 servings has calories 260, total fat 6 g includes saturated fat 4 g, sodium 1340 mg, carbs 38 g includes fiber 6 g and sugars 22 g, vitamin A 180%, calcium 8%, iron 8%), 1 slice of Dill bread (serving size 1 slice  doubled already for 2 slices Because I eat another slice after work: calories 180, fat 2 g no saturated/trans/poly/mono fats, sodium 380 mg, carbs 32 g includes fiber 2 g and sugars 2 g, protein 6 g, calcium 70 mg, iron 2 mg, potassium 80 mg), an orange (calories 81, sodium 2 mg, carbs 21 g including fiber 4 g and sugars 14 g, protein 2 g, vit A 8%, vit C 163%, calcium 7%, iron 1%), an organic banana (serving 7-7 7/8" these are large about 10"-11", calories 105, sodium 1 mg, carbs 27 g includes fiber 3 g and sugars 14 g, protein 1 g, vitamin A 2%, Vitamin C 17%, calcium 1% of daily recc. or 5.9 mg Google, iron 2% of daily recomm. or 0.3 mg Google, potassium 450 mg), after work at 310 pm had a slice of dill bread (already noted above with other dill slice of bread), at home at 345 pm had a bowl of same spaghetti made yesterday and ate this morning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Around 430 pm a handful of ruffles (serving size 28 g: calories 150, fat 8 g includes saturated fat 1 g, sodium 170 mg, carbs 17 g includes fiber 1 g and sugars 1 g, protein 2 g) and 2 tblsp sourcream (calories 60, total fat 5 g includes saturated fat 3.5 g and monounsaturated fat 1.5 g, cholesterol 20 mg, calcium 40 mg, sodium 15 mg, carbs 2g includes sugars 2 g, protein 1 g, no iron or potassium) and a cup of shrimp noodles with shrimp and veggies emptied out and super spicy (1 cup is 1 serving: calories 290, fat 12 g includes saturated fat 6 g, cholesterol 1%, sodium 1150 mg 50%, carbs 39 g includes fiber 3 g and sugars 2 g, protein 7 g, iron 2.8 mg 15%, potassium 180 mg 4%). Went to bed around 9 pm.</t>
  </si>
  <si>
    <t>fat_gram</t>
  </si>
  <si>
    <t>saturatedFat_gram</t>
  </si>
  <si>
    <t>protein_gram</t>
  </si>
  <si>
    <t>sodiumDailyIntake</t>
  </si>
  <si>
    <t>fiber_grams</t>
  </si>
  <si>
    <t>morning_BM</t>
  </si>
  <si>
    <t>woke up at 12 am and laid in bed, got out of bed at 130 am moved cars stayed up till tired. Had a reg BM after some water digested. Had a cup of coffee. Went to bed at 3 am but couldn't sleep, got up at 6:30 am. 2nd cup of coffee. Side on the lower right was hurting and pain reached low back right side. Felt better earlier after 1st cup of coffee and after lg BM. Felt like a pinch in digestive tract, but still there at 640 am not as bad. Stretches were ruined yesterday due to the neighbor running his motorcycle exhaust and torquing the power for the last 10 minutes of my workout, I ended early cussing. Had another lg BM at 7 am. At 730 am had 2 corn tortilla and jack cheese with paprika quesadillas (tortillas 2 servings is 4 tortillas: calories 200, polyunsaturated fat 1 g, sodium 40 mg, carbs 42 g includes fiber 4 g and sugar 4 g, protein 4 g, calcium 40 mg, iron 0.6 mg, potassium 160 mg; jack cheese 2 servings is 2/3 cup total: calories 200, saturated fat 9 g, cholesterol 50 mg, sodium 340 mg, carbs 2 g no fiber or sugars, protein 12 g, calcium 382 mg no iron or potassium) with 1/2 lg ripe organic avocado (serving size is 1/2 avocado, calories 114, total fat 10 g includes saturated fat 1.5 g, sodium 5 mg, carbs 6 g includes sugars 5 g, protein 1 g, calcium 9 mg, iron 1 mg, potassium 345 mg). At work for breakfast had a reg sz banana (serving 7-7 7/8", calories 105, sodium 1 mg, carbs 27 g includes fiber 3 g and sugars 14 g, protein 1 g, vitamin A 2%, Vitamin C 17%, calcium 1% of daily recc. or 5.9 mg Google, iron 2% of daily recomm. or 0.3 mg Google, potassium 450 mg) and for lunch around 1 pm I had 2 cups of ginger carrot cashew soup from Pacific brand (2 servings has calories 260, total fat 6 g includes saturated fat 4 g, sodium 1340 mg, carbs 38 g includes fiber 6 g and sugars 22 g, vitamin A 180%, calcium 8%, iron 8%), 1/2 an avocado (serving size is 1/2 avocado, calories 114, total fat 10 g includes saturated fat 1.5 g, sodium 5 mg, carbs 6 g includes sugars 5 g, protein 1 g, calcium 9 mg, iron 1 mg, potassium 345 mg) and about 10 rectangular tortilla chips from Aldi's in a party size bag (similar to Mission Tortilla Chips, serving size is 10 chips, calories 140, total fat 7 g includes saturated fat 5 g, sodium 90 mg, carbs 18 g includes fiber 2 g, protein 2 g, calcium 20 mg, potassium 80 mg), and a reg sz organic banana (serving 7-7 7/8", calories 105, sodium 1 mg, carbs 27 g includes fiber 3 g and sugars 14 g, protein 1 g, vitamin A 2%, Vitamin C 17%, calcium 1% of daily recc. or 5.9 mg Google, iron 2% of daily recomm. or 0.3 mg Google, potassium 450 mg). At home had half a bowl of the edamame pasta (4 servings per box with 1 serving: calories 180, total fat 3.5 g no saturated fat or trans fat, sodium and cholesterol 0 mg, carbs 20 g includes fiber 13 g and sugars 3 g, protein 24 g) and soy protein meatballs (4 servings per container and 1 serving is 3 meatballs: calories 220, total fat 13 g including saturated fat at 7 g, sodium 570 mg, carbs 12 g includes fiber fiber 3 g and sugars 3 g, protein 17 g, calcium 200 mg, iron 3 mg, potassium 430 mg) with Del Monte tomato 4 cheese sauce (serving size 1/2 cup and 5 in the jar, calories 60, fat 1 g no saturated fat, cholesterol 0 mg, sodium 420 mg, carbs 12 g includes fiber 2 g and sugars 10, protein 2 g, calcium 31 mg, iron 1 mg or 6%, potassium 310 mg) and broccoli (serving 1 cup, calories 31, fat 0.34 g of which saturated fat is 0.04 g, sodium 30.03 mg, potassium 287 mg, carbs 6 g includes fiber 2 g and sugars 2 g, protein 3 g, calcium 43 mg, iron 0.66 mg, vitamin C 81 mg, vitamin A 567 IU) and red pepper (calories 37 g, total fat 0 g, cholesterol 0 mg, sodium 5 mg, carbs 7 g includes fiber 2 g and sugars 5 g, protein 1 g, vit A 75%, vit C 235%, calcium 1%, iron 3%) around 430 pm and a cup of the last of the fresh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At about 7 pm had a reg sz organic banana (serving 7-7 7/8", calories 105, sodium 1 mg, carbs 27 g includes fiber 3 g and sugars 14 g, protein 1 g, vitamin A 2%, Vitamin C 17%, calcium 1% of daily recc. or 5.9 mg Google, iron 2% of daily recomm. or 0.3 mg Google, potassium 450 mg) and a mango (not ripe enough: calories 107, sodium 3 mg, carbs 28 g includes fiber 3 g and sugars 24 g, protein 1 g, vit A 25%, vit C 76%, calcium 2%, iron 1%), then around 720 pm had a bowl of the Progresso garden vegetable soup (calories 190, total fat 0 g, sodium 1450 mg, carbs 41 g includes sugars 9 g and fiber 7 g, protein 6 g, calcium 60 mg, iron 1.6 mg, potassium 1030 mg). Went to bed around 930 pm.</t>
  </si>
  <si>
    <t>dailyCalories</t>
  </si>
  <si>
    <t>notes_diet_mood_etc</t>
  </si>
  <si>
    <t>Woke up at 530 am. 2 cups of coffee. 2 quesadillas corn mozz low skim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paprika and cinnamon, a cup of tomato roasted pepper soup  (serving size 1 cup: calories 120, fat 3 g includes saturated fat 2 g, cholesterol 10 mg, sodium 330 mg, carbs 19 g includes fiber 2 g and sugars 14 g, protein 6 g, calcium 144 mg, potassium 514 mg, iron 1 mg) around 6:30 am, lunch around 11 am had approximately 40 green grapes (serving sz 10 grapes this is X4: calories 34, sodium 4 mg, carbs 36 includes fiber 0 and sugars 8 g, protein 0 g, vit A 1%, vit C 9%, iron 1%), an orange (calories 81, sodium 2 mg, carbs 21 g including fiber 4 g and sugars 14 g, protein 2 g, vit A 8%, vit C 163%, calcium 7%, iron 1%) and a ruby red grapefruit (serving sz 1/2 med grapefruit already doubled: calories 92, carbs 24 g includes fiber 2 g and sugars 18 g, protein 2 g, vit A 12%, vit C 156%, iron 2%, calcium2%), short shift 8-2. around 3 pm had a corn tortilla quesadilla the same as usual just one (tortillas 2 servings: calories 100, polyunsaturated fat 1 g, sodium 20 mg, carbs 21 g includes fiber 2 g and sugar 2 g, protein 2 g, calcium 20 mg, iron 0.3 mg, potassium 80 mg; low skim mozzarella cheese 2 servings is 1/2 cup total this is 1/4 cup: calories 80, fat 5 g includes saturated fat 3.5 g, cholesterol 15 mg, sodium 190 mg, carbs 1 g no fiber or sugars, protein 6 g, calcium 193 mg, no iron or potassium) before workout. Drank 2 1/2 bottles of water during workout. 7 pm had 2 corn mozzarella quesadillas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with paprika only and 1 cup tomato roasted red pepper soup (serving size 1 cup: calories 120, fat 3 g includes saturated fat 2 g, cholesterol 10 mg, sodium 330 mg, carbs 19 g includes fiber 2 g and sugars 14 g, protein 6 g, calcium 144 mg, potassium 514 mg, iron 1 mg) with 2 tbls sour cream  (serving size is 2 tbls: calories 60, total fat 5 g includes saturated fat 3.5 g and monounsaturated fat 1.5 g, cholesterol 20 mg, calcium 40 mg, sodium 15 mg, carbs 2g includes sugars 2 g, protein 1 g, no iron or potassium), bed by 8:30 pm, woke up at 1 am, barking the neighbors pug got out, fed it tried to catch it so did other neighbor, went to bed about 2 am, woke up at 6:30 AM Sunday</t>
  </si>
  <si>
    <t>Woke up at 530 am. Had 2 cups of coffee, bowl of gluten free spaghetti with 4 cheese pasta sauce, beyond meat, broccoli, and red peppers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and an organic banana lg (serving 7-7 7/8" these are large about 10"-11", calories 105, sodium 1 mg, carbs 27 g includes fiber 3 g and sugars 14 g, protein 1 g, vitamin A 2%, Vitamin C 17%, calcium 1% of daily recc. or 5.9 mg Google, iron 2% of daily recomm. or 0.3 mg Google, potassium 450 mg) around 7 am before workout. Worked out and drank 3 bottles of water started around 70 degrees with a sweat suit shirt on, the pants couldn't be saved from the rip the other day, after workout an orange (calories 81, sodium 2 mg, carbs 21 g including fiber 4 g and sugars 14 g, protein 2 g, vit A 8%, vit C 163%, calcium 7%, iron 1%) and a bowl of same spaghetti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No nap, didn't feel tired after workout. a small bowl of blueberries, blackberries, and strawberries at 12:45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and 1 1/2 cups ginger carrot cashew soup ((2 servings has calories 260, total fat 6 g includes saturated fat 4 g, sodium 1340 mg, carbs 38 g includes fiber 6 g and sugars 22 g, vitamin A 180%, calcium 8%, iron 8%)) and 2 slices of dill bread ( (serving size 1 slice  doubled already for 2 slices: calories 180, fat 2 g no saturated/trans/poly/mono fats, sodium 380 mg, carbs 32 g includes fiber 2 g and sugars 2 g, protein 6 g, calcium 70 mg, iron 2 mg, potassium 80 mg)) toasted with 1/2 lg avocado (put other 1/2 in fridge:(serving size is 1/2 avocado, calories 114, total fat 10 g includes saturated fat 1.5 g, sodium 5 mg, carbs 6 g includes sugars 5 g,  protein 1g, calcium 9 mg, iron 1 mg, potassium 345 mg)) and paprika. At work around 545 pm, I ate an orange (calories 81, sodium 2 mg, carbs 21 g including fiber 4 g and sugars 14 g, protein 2 g, vit A 8%, vit C 163%, calcium 7%, iron 1%), cup of noodles shrimp and veggies emptied (1 cup is 1 serving: calories 290, fat 12 g includes saturated fat 6 g, cholesterol 1%, sodium 1150 mg 50%, carbs 39 g includes fiber 3 g and sugars 2 g, protein 7 g, iron 2.8 mg 15%, potassium 180 mg 4%), and a lg banana organic (serving 7-7 7/8" these are large about 10"-11", calories 105, sodium 1 mg, carbs 27 g includes fiber 3 g and sugars 14 g, protein 1 g, vitamin A 2%, Vitamin C 17%, calcium 1% of daily recc. or 5.9 mg Google, iron 2% of daily recomm. or 0.3 mg Google, potassium 450 mg), after work around 10 pm ate 10-15 ruffles chips  (serving size 28 g: calories 150, fat 8 g includes saturated fat 1 g, sodium 170 mg, carbs 17 g includes fiber 1 g and sugars 1 g, protein 2 g) on the way home. Went to bed at 1130 pm.</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</si>
  <si>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</si>
  <si>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</si>
  <si>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</si>
  <si>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</si>
  <si>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</si>
  <si>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</si>
  <si>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</si>
  <si>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</si>
  <si>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</si>
  <si>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</si>
  <si>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</si>
  <si>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</si>
  <si>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</si>
  <si>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</si>
  <si>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</si>
  <si>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</si>
  <si>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</si>
  <si>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</si>
  <si>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</si>
  <si>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</si>
  <si>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</si>
  <si>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</si>
  <si>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</si>
  <si>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</si>
  <si>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</si>
  <si>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</si>
  <si>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</si>
  <si>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</si>
  <si>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</si>
  <si>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</si>
  <si>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</si>
  <si>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</si>
  <si>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</si>
  <si>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</si>
  <si>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</si>
  <si>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</si>
  <si>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</si>
  <si>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</si>
  <si>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</si>
  <si>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</si>
  <si>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</si>
  <si>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</si>
  <si>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</si>
  <si>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</si>
  <si>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57 F</t>
  </si>
  <si>
    <t>50 F</t>
  </si>
  <si>
    <t>Day</t>
  </si>
  <si>
    <t>Priano 4 Cheese Pasta Sauce</t>
  </si>
  <si>
    <t>Winco Parmesan Cheese 2 tbsp</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</si>
  <si>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</si>
  <si>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</si>
  <si>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</si>
  <si>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</si>
  <si>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</si>
  <si>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</si>
  <si>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</si>
  <si>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 xml:space="preserve">woke up at 230 am side on lower right QL area hurting. Had a cup of coffee and water before that with my cup of ice and a lg BM and side felt better. Did lipocavitation around 4 am, then ate at 5 am a bowl of pasta rotini made yesterday [barilla red lentil rotini noodles (serving sz 2 - 3.5 oz and 4.5 per carton: calories for 3.5 oz is 330, fat 2.5 g includes saturated fat 0.5 g, carbs 61 g includes fiber 11 g with soluble 6 g and insoluble fiber 5 g and sugars 2 g, protein 23 g, calcium 31 mg, iron 6 mg, potassium 925 mg, no sodium or cholesterol) with priano 4 cheese sauce(serving size 1/2 cup and 5 in the jar, calories 90, fat 3.5 g includes saturated fat 1 g, cholesterol 5 mg, sodium 460 mg, carbs 12 g includes fiber 3 g and sugars 8, protein 3 g, calcium 80 mg, iron 0.9 mg or 6%, potassium 520 mg), beyond meat (serving size 4 oz: calories 250, fat 18 g including saturated fat 6 g, sodium 390 mg, potassium 300 mg, carbs 3g includes fiber 2 g and sugar 0 g, protein 20 g, calcium 8%, iron 25%), 1 broccoli crown chopped (serving 1 cup: calories 31, fat 0.34 g of which saturated fat is 0.04 g, sodium 30.03 mg, potassium 287 mg, carbs 6 g includes fiber 2 g and sugars 2 g, protein 3 g, calcium 43 mg, iron 0.66 mg, vitamin C 81 mg, vitamin A 567 IU) and 1 red bell pepper (1 red bell pepper: calories 37 g, total fat 0 g, cholesterol 0 mg, sodium 5 mg, carbs 7 g includes fiber 2 g and sugars 5 g, protein 1 g, vit A 75%, vit C 235%, calcium 1%, iron 3%)] with 3 leaves of lettuce chopped (serving size 1 1/2 cups shredded: calories 15, sodium 35 mg, carbs 2 g includes fiber 1 g and sugars 1 g, protein 1 g, vit A 130%, vit C 6%, calcium 2%, iron 4% of daily recommended 2000 calorie diet). Had another or the 2nd cup of coffee for the morning at 6 am. Had another BM but a small one before 6:30 am after 2nd cup of coffee. At work at 8:40 am had a cup of ruffles zesty cheddar chips (serving size 28 g: calories 150, fat 8 g includes saturated fat 1 g, sodium 170 mg, carbs 17 g includes fiber 1 g and sugars 1 g, protein 2 g) the bottom of bag crumbs but some whole as had the bag a week. At lunch around 11 am for one hour started another cup of their coffee totaling 3 cups because felt a headache coming on and it kept it away no creamer (Dunkin Donuts Keurig brand) had 2 cruncy tacos  (serving size 3 shells: calories 160, total fat 7 g including saturated fat 2 g, carbs 21 g of fiber 2 g and sugars 1 g, protein 2 g, calcium 15 mg, iron 1 mg, potassium 93 mg) with one small avocado (serving sz 1 avocado ate other half later: calories 322, fat 29 g includes saturated fat 4 g, sodium 14 mg, carbs 17 g includes fiber 13 g and sugars 1 g, protein 4 g, vit A 6%, vit C 33%, calcium 2%, iron 6% ), 1/2 cup approximately of mozzarella cheese (low skim mozzarella cheese 2 servings is 1/2 cup total: calories 160, fat 10 g includes saturated fat 7 g, cholesterol 30 mg, sodium 380 mg, carbs 2 g no fiber or sugars, protein 12 g, calcium 386 mg, no iron or potassium) , paprika and 2 tblsp of ruffles crumbs (include in the serving earlier for breakfast, a lg danjou pear (calories 57, potassium 116 mg, sodium 1 mg, carbs 15 g of fiber 3 g and sugars 10 g, vit A 0.5%, vit C 7%, iron 1%, protein 0.36%), a naval orange (calories 81, sodium 2 mg, carbs 21 g including fiber 4 g and sugars 14 g, protein 2 g, vit A 8%, vit C 163%, calcium 7%, iron 1%), a banana non-organic  (serving 7-7 7/8", calories 105, sodium 1 mg, carbs 27 g includes fiber 3 g and sugars 14 g, protein 1 g, vitamin A 2%, Vitamin C 17%, calcium 1% of daily recc. or 5.9 mg Google, iron 2% of daily recomm. or 0.3 mg Google, potassium 450 mg) and a 3rd cup of coffee no creamer. At 4:30 pm had a bowl or rotini pasta [barilla red lentil rotini noodles (serving sz 2 - 3.5 oz and 4.5 per carton: calories for 3.5 oz is 330, fat 2.5 g includes saturated fat 0.5 g, carbs 61 g includes fiber 11 g with soluble 6 g and insoluble fiber 5 g and sugars 2 g, protein 23 g, calcium 31 mg, iron 6 mg, potassium 925 mg, no sodium or cholesterol) with priano 4 cheese sauce(serving size 1/2 cup and 5 in the jar, calories 90, fat 3.5 g includes saturated fat 1 g, cholesterol 5 mg, sodium 460 mg, carbs 12 g includes fiber 3 g and sugars 8, protein 3 g, calcium 80 mg, iron 0.9 mg or 6%, potassium 520 mg), beyond meat (serving size 4 oz: calories 250, fat 18 g including saturated fat 6 g, sodium 390 mg, potassium 300 mg, carbs 3g includes fiber 2 g and sugar 0 g, protein 20 g, calcium 8%, iron 25%), 1 broccoli crown chopped (serving 1 cup: calories 31, fat 0.34 g of which saturated fat is 0.04 g, sodium 30.03 mg, potassium 287 mg, carbs 6 g includes fiber 2 g and sugars 2 g, protein 3 g, calcium 43 mg, iron 0.66 mg, vitamin C 81 mg, vitamin A 567 IU) and 1 red bell pepper (1 red bell pepper: calories 37 g, total fat 0 g, cholesterol 0 mg, sodium 5 mg, carbs 7 g includes fiber 2 g and sugars 5 g, protein 1 g, vit A 75%, vit C 235%, calcium 1%, iron 3%)] made the other day, still good. Went to bed at 930 pm but a couple cats were outside, a new one harassing the one I always feed, like the cat cry in heat for an hour or so ran around the block super fast. Put out another can of food because it was completely empty after leaving the other one an hour before bed outside. </t>
  </si>
  <si>
    <t>Woke up at 5:30 am. Ankles not swollen, will keep wearing compression socks maybe not have to keep peeing. Had a cup of coffee, normal morning BM lg sz like last few days maybe the bananas that I started eating more of during this diet or the waist trimmer at a smaller waist measurement as I didn't eat them at all before. Then had other cup of coffee. Today is my birthday and am 39 years old. It is supposed to be scattered showers today, and hopefully doesn't interfere with my late afternoon workout after work around 5-530 pm. I do like the rain though as we get it seldomly in CA. After 2nd cup of coffee and preparing this data for analysis when done I had a very tiny BM but will mark it as 2 in the morningBM column. For breakfast had 2 crunchy tacos (serving size 3 shells: calories 160, total fat 7 g including saturated fat 2 g, carbs 21 g of fiber 2 g and sugars 1 g, protein 2 g, calcium 15 mg, iron 1 mg, potassium 93 mg) with 1 whole small avocado (serving sz 1 avocado: calories 322, fat 29 g includes saturated fat 4 g, sodium 14 mg, carbs 17 g includes fiber 13 g and sugars 1 g, protein 4 g, vit A 6%, vit C 33%, calcium 2%, iron 6% ),and a 1/4 cup to 1/3 cup of mozzarella cheese  (serving 1/4 cup: calories 80, fat 5 g includes saturated fat 3.5 g, cholesterol 15 mg, sodium 190 mg, carbs 1 g not fiber not sugar, protein 6 g, calcium 193 mg) . At work before starting at 7:40 am had the last banana  (serving 7-7 7/8", calories 105, sodium 1 mg, carbs 27 g includes fiber 3 g and sugars 14 g, protein 1 g, vitamin A 2%, Vitamin C 17%, calcium 1% of daily recc. or 5.9 mg Google, iron 2% of daily recomm. or 0.3 mg Google, potassium 450 mg). At lunch around 11:30 am had 1 1/2 cups of the roasted red pepper and tomato Pacific soup  (serving size 1 cup: calories 120, fat 3 g includes saturated fat 2 g, cholesterol 10 mg, sodium 330 mg, carbs 19 g includes fiber 2 g and sugars 14 g, protein 6 g, calcium 144 mg, potassium 514 mg, iron 1 mg), an orange  (calories 81, sodium 2 mg, carbs 21 g including fiber 4 g and sugars 14 g, protein 2 g, vit A 8%, vit C 163%, calcium 7%, iron 1%), and about 15 grapes (serving sz 10 grapes: calories 8.5, sodium 1 mg, carbs 9 includes fiber 0 and sugars 2 g, protein 0 g, vit A 1%, vit C 2%, iron 1%), and a lg danjou pear (calories 57, potassium 116 mg, sodium 1 mg, carbs 15 g of fiber 3 g and sugars 10 g, vit A 0.5%, vit C 7%, iron 1%, protein 0.36%) that is starting to taste more soft from my purchase last week of them sitting in the fridge, and a half a 3rd cup of Dunkin Donuts coffee no creamer from work keurig machine. At home had 2 eggs over medium cooked same way in olive oil (calories 140, total fat 10 g of which saturated fat is 3 g, cholesterol is 370 mg, sodium is 140 mg, protein 12 g, no carbs, vitamin D 2 mcg, iron 2 mg, calcium 56 mg, potassium 138 mg) with mozzarella cheese about 1/4 cup  (serving 1/4 cup: calories 80, fat 5 g includes saturated fat 3.5 g, cholesterol 15 mg, sodium 190 mg, carbs 1 g not fiber not sugar, protein 6 g, calcium 193 mg) in 2 cruncy tacos (serving size 3 shells: calories 160, total fat 7 g including saturated fat 2 g, carbs 21 g of fiber 2 g and sugars 1 g, protein 2 g, calcium 15 mg, iron 1 mg, potassium 93 mg). Then worked out and it was chilly to start. Ate a mozzarella quesadilla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usual way only one after working out and before bed at around 830 pm. Wore compression socks again today they help. Went to bed at 9 pm.</t>
  </si>
  <si>
    <t>compressionSocks</t>
  </si>
  <si>
    <t>Woke up at 5:45 am. Had reg BM by time drinking coffee starting off with water to waken digestion. Had 2 cups of coffee. At 745 am had a couple eggs over medium  (calories 140, total fat 10 g of which saturated fat is 3 g, cholesterol is 370 mg, sodium is 140 mg, protein 12 g, no carbs, vitamin D 2 mcg, iron 2 mg, calcium 56 mg, potassium 138 mg), with a whole small avocado (serving sz 1 avocado: calories 322, fat 29 g includes saturated fat 4 g, sodium 14 mg, carbs 17 g includes fiber 13 g and sugars 1 g, protein 4 g, vit A 6%, vit C 33%, calcium 2%, iron 6% ), and new corn tortillas  Guerrero (tortillas serving size 2 corn tortillas: calories 100, fat 1 g includes polyunsaturated fat 0.5 g, sodium 20 mg, carbs 21 g includes fiber 2 g and sugars 2 g, protein 2 g, calcium 20 mg, potassium 80 mg) also gluten free but less calories bought at Winco few days ago on that shopping trip, with low skim mozzarella cheese (serving 1/4 cup: calories 80, fat 5 g includes saturated fat 3.5 g, cholesterol 15 mg, sodium 190 mg, carbs 1 g not fiber not sugar, protein 6 g, calcium 193 mg) also same trip used in only one quesadilla with quesadilla maker and an orange  (calories 81, sodium 2 mg, carbs 21 g including fiber 4 g and sugars 14 g, protein 2 g, vit A 8%, vit C 163%, calcium 7%, iron 1%). After workout around 12 pm, I had the last bowl of the rotini pasta  [barilla red lentil rotini noodles (serving sz 2 - 3.5 oz and 4.5 per carton: calories for 3.5 oz is 330, fat 2.5 g includes saturated fat 0.5 g, carbs 61 g includes fiber 11 g with soluble 6 g and insoluble fiber 5 g and sugars 2 g, protein 23 g, calcium 31 mg, iron 6 mg, potassium 925 mg, no sodium or cholesterol) with priano 4 cheese sauce(serving size 1/2 cup and 5 in the jar, calories 90, fat 3.5 g includes saturated fat 1 g, cholesterol 5 mg, sodium 460 mg, carbs 12 g includes fiber 3 g and sugars 8, protein 3 g, calcium 80 mg, iron 0.9 mg or 6%, potassium 520 mg), beyond meat (serving size 4 oz: calories 250, fat 18 g including saturated fat 6 g, sodium 390 mg, potassium 300 mg, carbs 3g includes fiber 2 g and sugar 0 g, protein 20 g, calcium 8%, iron 25%), 1 broccoli crown chopped (serving 1 cup: calories 31, fat 0.34 g of which saturated fat is 0.04 g, sodium 30.03 mg, potassium 287 mg, carbs 6 g includes fiber 2 g and sugars 2 g, protein 3 g, calcium 43 mg, iron 0.66 mg, vitamin C 81 mg, vitamin A 567 IU) and 1 red bell pepper (1 red bell pepper: calories 37 g, total fat 0 g, cholesterol 0 mg, sodium 5 mg, carbs 7 g includes fiber 2 g and sugars 5 g, protein 1 g, vit A 75%, vit C 235%, calcium 1%, iron 3%)] . At 12:30 decided not to take a nap and drank a 3rd cup of coffee totaling 3 cups but same small instant amount of 1/2 tbls Nescafe and had a banana  (serving 7-7 7/8", calories 105, sodium 1 mg, carbs 27 g includes fiber 3 g and sugars 14 g, protein 1 g, vitamin A 2%, Vitamin C 17%, calcium 1% of daily recc. or 5.9 mg Google, iron 2% of daily recomm. or 0.3 mg Google, potassium 450 mg). Fixed lunch 2 mozz quesadillas (tortillas serving size 2 corn tortillas for 2 servings: calories 200, fat 2 g includes polyunsaturated fat 1 g, sodium 40 mg, carbs 42 g includes fiber 4 g and sugars 4g, protein 4 g, calcium 40 mg, potassium 160 mg) and low skim mozzarella (serving 1/4 cup, for 2 servings: calories 160, fat 10 g includes saturated fat 7 g, cholesterol 30 mg, sodium 380 mg, carbs 2 g not fiber not sugar, protein 12 g, calcium 386 mg), orange  (calories 81, sodium 2 mg, carbs 21 g including fiber 4 g and sugars 14 g, protein 2 g, vit A 8%, vit C 163%, calcium 7%, iron 1%), 40 green grapes (serving sz 10 grapes: calories 34, sodium 4 mg, carbs 36 includes fiber 0 and sugars 8 g, protein 0 g, vit A 1%, vit C 2%, iron 1%), a mango (calories 107, sodium 3 mg, carbs 28 g includes fiber 3 g and sugars 24 g, protein 1 g, vit A 25%, vit C 76%, calcium 2%, iron 1%), and a cup of the Oats and Honey snack (serving size 2/3 cup: calories 270, fat 7 g includes saturated fat 1 g, sodium 55 mg, carbs 46 g includes fiber 3 g and added sugars 14 g, protein 6 g, iron 1.6 mg, potassium 150 mg). I wore compression socks at work and the waist trainer and kept having to pee at work. I had to take off my waist trimmer on my lunch break around 530 pm because it was cutting into my upper rib cage/abs on the right and was uncomfortable. My ankles were swollen since yesterday when using the Hypervolt massage tool on my anterior tibialis and random parts of thighs where I also have random bruises on the middle of quads and ITB that are dark and small and didn't hurt that much when trying it for a couple of seconds on those parts at high power. Started wearing compression socks today. Went to bed at 10 pm because I left work early since 9 pm not booked.</t>
  </si>
  <si>
    <t>2 slices dill toast plain
2 eggs over medium 
grapefruit 
tomato soup 
2 tbls sourcream 
orange  
2 slices of all grain Aldi bread 
half an avocado</t>
  </si>
  <si>
    <t xml:space="preserve">1 1/2 eggs over medium 
2 slices of dill toast 
1 small ripe fresh avocado 
1 orange 
2 corn tortilla quesadillas same style 
1 1/2 cup of cashew ginger carrot soup from Pacific brand 
2 tbls sourcream 
1 pear 
1 orange 
1 cup of chile lime shrimp ramen noodles 
1 grapefruit 
1 orange 
1 1/2 cups of ginger cashew carrot soup from pacific brand 
2 slices of Dill toast </t>
  </si>
  <si>
    <t>2 corn tortilla quesadillas usual style 
1 1/2 cup ginger carrot cashew soup 
5-6 ruffles chips 
1 1/4 tbls sour cream 
1 orange 
1 organic ripe banana 
bowl of gluten free spaghetti with beyond meat, broccoli, red bell peppers pasta 
1 cup of tomato roasted pepper soup 
1 tbls sour cream 
5-7 ruffles 
2 corn tortilla quesadillas 
5 quarter slices of pineapple fresh 
handful of oats and honey Cascade Farms brand
1 slice of dill bread, with American cheese slice, and a long slice of pickle 
1 cup of tomato roasted pepper soup 
handful of berries (black, blue, strawberries)</t>
  </si>
  <si>
    <t xml:space="preserve">bowl of gluten free spaghetti with 4 cheese pasta sauce, beyond meat, broccoli, and red peppers 
1 organic banana lg 
small mixed baggie of blueberries, blackberries and strawberries 
1 danjou pear 
1 1/2 cups of ginger carrot cashew soup 
1 slice of Dill bread 
1 orange 
1  slice of dill bread 
bowl of same spaghetti 
handful of ruffles 
2 tblsp sourcream 
1 cup of shrimp noodles </t>
  </si>
  <si>
    <t xml:space="preserve">bowl of gluten free spaghetti with 4 cheese pasta sauce, beyond meat, broccoli, and red peppers 
1 organic banana lg 
1 orange
bowl of same spaghetti 
small bowl of blueberries, blackberries, and strawberries
1 1/2 cups ginger carrot cashew soup 
2 slices of dill bread 
1/2 lg avocado 
1 orange 
1 cup of noodles shrimp and veggies emptied 
1 lg banana organic
10-15 ruffles chips </t>
  </si>
  <si>
    <t xml:space="preserve">bowl of same pasta the last of the gluten free spaghetti, beyond meat, broccoli, red bell peppers
1/2 lg avocado
2 slices dill toast 
1 orange 
1 lg organic banana the last of that batch still ripe 
2 cups of strawberries, blackberries, and blueberries fresh
a serving of oats and honey Cascadian Farm 
20 ruffles zesty cheddar 
bowl of edamame pasta and plant based meatballs </t>
  </si>
  <si>
    <t xml:space="preserve">2 eggs over medium
1/2 lg avocado ripe 
1 organic reg banana 
2 cups mixed up of pineapples, blueberries, blackberries, and strawberries 
1 orange 
2 corn tortilla tacos 
1/2 avocado 
1 lg danjou pear 
1 banana 
bowl of edamame pasta, soy meatballs, brocc/red pep  
1 1/2 cup of blueberries, blackberries, and strawberries </t>
  </si>
  <si>
    <t xml:space="preserve">bowl of pasta rotini made yesterday 
3 leaves of lettuce chopped 
1 cup of ruffles zesty cheddar chips 
2 cruncy tacos with one small avocado and 1/2 cup approximately of mozzarella cheese 
2 tblsp of ruffles crumbs 
1 orange 
bowl or rotini pasta </t>
  </si>
  <si>
    <t xml:space="preserve">2 eggs over medium with a whole small avocado 
corn tortillas  Guerrero brand with low skim mozzarella cheese 
1 orange  
last bowl of the rotini pasta 
1 banana  
2 mozz quesadillas 
1 orange 
1 mango 
1 cup of the Oats and Honey snack </t>
  </si>
  <si>
    <t xml:space="preserve">2 eggs over easy/medium 
1 1/2 corn tortilla quesadillas with
1/2 cup low skim mozzarella cheese 
1 grapefruit
1 orange
1 1/2 cups Ginger and Carrot soup 
2 tbls sourcream 
1 corn tortilla quesadilla with low skim mozzarella cheese  
1 cup shrimp chilli lime spicy flavored ramen 
1 cup of ginger cashew carrot soup  
2 slices all grain wheat bread toasted 
1 corn tortilla quesadilla with low skim mozz cheese </t>
  </si>
  <si>
    <t xml:space="preserve">2 quesadillas corn gluten free with low skim mozzarella 
1 cup of cashew ginger carrot soup 
2 tbls sourcream  
1 grapefruit 
1 1/2 cups blackberries and blueberries 
1 orange 
1 cup of cashew ginger carrot soup 
1 cup of shrimp lime chilli ramen 
2 corn quesadillas corn gluten free with low skim mozzarella 
1 cup of roasted red pepper tomato soap 
2 eggs over easy 
2 slices dill toast
1 grapefruit 
1 cup of shrimp chilli lime flavored ramen </t>
  </si>
  <si>
    <t xml:space="preserve">2 eggs over easy 
2 slices dill toast 
1 whole small avocado 
1 grapefruit 
1 orange
a few green grapes and blackberries. 
handful of 
	mixed green grapes 
	strawberries 
	blackberries 
1 orange 
1 cup of tomato soup 
2 slices of dill bread 
2 quesadillas gluten free corn tortilla with mozz low skim </t>
  </si>
  <si>
    <t xml:space="preserve">2 egss with almond milk scrambled 
1 1/2 slices of 12 grain wheat bread  
40 green grapes 
about 10 strawberries 
about 16 blackberries 
1 grapefruit 
1 orange 
1 cup of shrimp ramen 
1 cup of roasted tomato soup
2 slices of toasted dill bread
2 eggs over medium 
2 slices of dill toast 
1 small avocado </t>
  </si>
  <si>
    <t xml:space="preserve">2 quesadillas corn mozz low skim 
1 cup of tomato roasted pepper soup 
40 green grapes 
1 orange 
1 grapefruit 
1 corn tortilla quesadilla the same as usual just one 
2 corn mozzarella quesadillas 
1 cup tomato roasted red pepper soup 
2 tbls sour cream </t>
  </si>
  <si>
    <t>2 corn tortilla quesadillas usual style mozz 
1 cup of tomato roasted pepper soup 
2 tbls sour cream 
1 pear 
2 oranges 
1 grapefruit 
1 slice of 12 grain wheat bread 
1 corn tortilla quesadilla the usual way 
1 cup of roasted red pepper tomato soup 
1 tbls sour cream 
3 egg omelet with almond milk 
2 slices of Dill toast 
1 small fresh avocado 
1 cup of ramen shrimp flavored</t>
  </si>
  <si>
    <t>2 corn tortilla and jack cheese with paprika quesadillas 
1/2 lg ripe organic avocado 
1 reg sz banana 
2 cups of ginger carrot cashew soup from Pacific brand 
1/2 an avocado 
10 rectangular tortilla chips 
1 reg sz organic banana 
bowl of the edamame pasta 
1 cup of the last of the fresh blueberries, blackberries, and strawberries 
1 reg sz organic banana 
1 mango 
bowl of the Progresso garden vegetable soup</t>
  </si>
  <si>
    <t xml:space="preserve">2 corn tortilla quesadillas with jack cheese and paprika 
2 eggs over medium fried in olive oil  
2 corn tortilla quesadillas the same as this morning 
2 eggs 
1 reg sz organic banana 
1 can of Simply Pure organic lentil soup 
2 tbls Winco sour cream 
1 cup pineapple 
last bowl of the edemame pasta 
1/3 cup Jack Cheese jack cheese </t>
  </si>
  <si>
    <t>1 reg sz organic banana 
1 serving of pineapple fresh 
2 cruncy tacos with 1 whole small avocado and serving of jack cheese 
bowl of red lentil rotini pasta with beyond meat and brocc/red peppers
1 orange 
handful of chex cereal 
2 corn tortilla quesadillas with mozzarella low skim cheese 
1 cup of tomato roasted red pepper soup from Pacific brand  
1 small avocado 
1 banana reg size</t>
  </si>
  <si>
    <t xml:space="preserve">2 crunchy tacos with 1 whole small avocado, and a 1/4 cup to 1/3 cup of mozzarella cheese 
1 banana 
1 1/2 cups of the roasted red pepper and tomato Pacific soup 
1 orange 
15 grapes 
1 lg danjou pear 
2 cruncy tacos stuffed with 
	2 eggs over medium cooked same way in olive oil with 1/4 cup mozzarella cheese
1 mozzarella corn tortilla quesadilla </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</si>
  <si>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</si>
  <si>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</si>
  <si>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</si>
  <si>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</si>
  <si>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</si>
  <si>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</si>
  <si>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Woke up at 6 am. 2 cups of coffee, 2 corn tortilla quesadillas usual style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with 1 1/2 cup ginger carrot cashew soup (2 servings has calories 260, total fat 6 g includes saturated fat 4 g, sodium 1340 mg, carbs 38 g includes fiber 6 g and sugars 22 g, vitamin A 180%, calcium 8%, iron 8%) around 745 am, worked out 20 minutes cardio kickboxing and an hour weight training drank 2 bottles of water chilly outside, then grocery shopping for fresh fruits at Sprouts and came back with blueberries, blackberries, strawberries, mangos, pears, oranges, a pineapple, bananas organic, seedless green and red grapes, and beyond meat. Then Staters for tupper ware and a bag of ruffles zesty cheddar chips. I ate 5-6 ruffles chips (serving size 28 g: calories 150, fat 8 g includes saturated fat 1 g, sodium 170 mg, carbs 17 g includes fiber 1 g and sugars 1 g, protein 2 g)  with tbsp and a half of sour cream (calories 60, total fat 5 g includes saturated fat 3.5 g and monounsaturated fat 1.5 g, cholesterol 20 mg, calcium 40 mg, sodium 15 mg, carbs 2g includes sugars 2 g, protein 1 g, no iron or potassium), an orange (dry not juicy like Winco's both Navel:calories 81, sodium 2 mg, carbs 21 g including fiber 4 g and sugars 14 g, protein 2 g, vit A 8%, vit C 163%, calcium 7%, iron 1%), and an organic ripe banana (serving 7-7 7/8" these are large about 10"-11", calories 105, sodium 1 mg, carbs 27 g includes fiber 3 g and sugars 14 g, protein 1 g, vitamin A 2%, Vitamin C 17%, calcium 1% of daily recc. or 5.9 mg Google, iron 2% of daily recomm. or 0.3 mg Google, potassium 450 mg) around 1 pm. Prepped the berries and ate the blueberries that felt like they would burst after washing them and a few blackberries around 130 pm. Made a pot of gluten free Barilla spaghetti noodles with beyond meat and fresh red peppers and broccoli and Priano 4 Cheese pasta sauce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and ate 3 heaping ladels of the pasta around 2 pm. Around 4 pm a cup of tomato roasted pepper soup (serving size 1 cup: calories 120, fat 3 g includes saturated fat 2 g, cholesterol 10 mg, sodium 330 mg, carbs 19 g includes fiber 2 g and sugars 14 g, protein 6 g, calcium 144 mg, potassium 514 mg, iron 1 mg), sour cream (calories 60, total fat 5 g includes saturated fat 3.5 g and monounsaturated fat 1.5 g, cholesterol 20 mg, calcium 40 mg, sodium 15 mg, carbs 2g includes sugars 2 g, protein 1 g, no iron or potassium) and 5-7 ruffles (serving size 28 g: calories 150, fat 8 g includes saturated fat 1 g, sodium 170 mg, carbs 17 g includes fiber 1 g and sugars 1 g, protein 2 g).  Around 5 pm 2 corn tortilla quesadillas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and 5 quarter slices of pineapple fresh (serving size 1 cup: calories 25, carbs 6 g includes fiber 1 g and sugars 4 g, vit C 70%). between 5 pm and 620 pm had a small handful of oats and honey from Winco in a cereal box(serving size 2/3 cup: calories 270, fat 7 g includes saturated fat 1 g, sodium 55 mg, carbs 46 g includes fiber 3 g and added sugars 14 g, protein 6 g, iron 1.6 mg, potassium 150 mg).  At 620 pm a slice of dill bread (calories 90, fat 1 g no saturated/trans/poly/mono fats, sodium 165 mg, carbs 16 g includes fiber 1 g and sugars 1 g, protein 3 g, calcium 35 mg, iron 1 mg, potassium40 mg)folded in half and toasted in quesadilla maker with American cheese slice (calories 70, fat 5 g includes saturated fat 3 g, cholesterol 20 mg, sodium 250 mg, carbs 1 g includes fiber 0 g and sugar 1 g, protein 4 g, vit A 4%, calcium 10%) and a long slice of pickle (serving size 4 small slices: calories 30, sodium 150 mg, carbs 8 g of which are sugars 7 g) with 1 cup of tomato roasted pepper soup (serving size 1 cup: calories 120, fat 3 g includes saturated fat 2 g, cholesterol 10 mg, sodium 330 mg, carbs 19 g includes fiber 2 g and sugars 14 g, protein 6 g, calcium 144 mg, potassium 514 mg, iron 1 mg). Handful of strawberries, blueberries, and blackberries ( average of all 3 : calories 42, fat 0.5 g blackberries 1 cup, protein 1 g, carbs 10 g includes fiber 3g, sodium 1 mg)at 640 pm. Went to bed around 9 pm.</t>
  </si>
  <si>
    <t>fiber_grams_from_carbs</t>
  </si>
  <si>
    <t>Bed around 10 pm the day before. Woke up at 5 am. HA all day starting at 11 am, ate 3 strawberries before workout and after day 10 lipocavitation from research 1, two cups of coffee to start, 2 bottles of water while working out, another bottle of water while eating breakfast of 2 slices dill toast plain  (serving size 1 slice  doubled already for 2 slices: calories 180, fat 2g no saturated/trans/poly/mono fats, sodium 380 mg, carbs 32 g includes fiber 2 g and sugars 2 g, protein 6 g, calcium 70 mg, iron 2 mg, potassium 80 mg), 2 eggs over medium (2 eggs: calories 140, total fat 10 g of which saturated fat is 3 g, cholesterol is 370 mg, sodium is 140 mg, protein 12 g, no carbs, vitamin D 2 mcg, iron 2 mg, calcium 56 mg, potassium 138 mg) with paprika two of them, grapefruit (serving sz 1/2 med grapefruit already doubled: calories 92, carbs 24 g includes fiber 2 g and sugars 18 g, protein 2 g, vit A 12%, vit C 156%, iron 2%, calcium2%), lipocavitation day 1 for arms, legs, and abs that weren't used in day 1, nap from about 1 to 2:30, drank a 4th bottle of water over nap time and into 4 pm, tomato soup (serving size 1 cup: calories 120, fat 3 g includes saturated fat 2 g, cholesterol 10 mg, sodium 330 mg, carbs 19 g includes fiber 2 g and sugars 14 g, protein 6 g, calcium 144 mg, potassium 514 mg, iron 1 mg) with 2 tbls sourcream  (calories 60, total fat 5 g includes saturated fat 3.5 g and monounsaturated fat 1.5 g, cholesterol 20 mg, calcium 40 mg, sodium 15 mg, carbs 2g includes sugars 2 g, protein 1 g, no iron or potassium), finished 4th bottle of water, headache still present, was bad enough to vomit around 3 pm after my nap and while feeding the furbabies and doing laundry. Was used to a 3rd cup of coffee, had one yesterday and had the headache, could be hormone related as done shedding uterine lining or a caffeine headache, or water headache, but feeling hydrated. The HA is on left side, was blurry and gone after 3rd bottle of water, but head ache pain present. Had an orange about mid 4 pm after the tomato soup. 1/2 can green beans  (serving 1/2 cup: calories 15, fat 0 g, carbs 3 g includes fiber 1 g and sugars 1 g, protein 1 g, sodium 290 mg) with tumeric, curry, and paprika and another orange  (this is for 2 oranges: calories 162, sodium 4 mg, carbs 42 g including fiber 8 g and sugars 28 g, protein 4 g, vit A 16%, vit C 326%, calcium 14%, iron 2%) around 6 pm, Headache is better but still aches. Around 7:15 pm 2 slices of all grain Aldi bread  (serving sz 1 slice this is 2Xserving: calories 280, total fat 7 g includes saturated fat 1 g and polyunsaturated fat 1 g and monounsaturated fat 4 g, sodium 360 g, carbs42 g includes fiber 8 g and sugars 6 g, protein 8 g, iron 20%, vit E 200%) with half an avocado (serving sz 1 avocado this is half nutrition of 1: calories 161, fat 14.5 g includes saturated fat 2 g, sodium 7 mg, carbs 8.5 g includes fiber 6.5 g and sugars 1 g, protein 2 g, vit A 3%, vit C 17%, calcium 1%, iron 3% ) with paprika. Bedtime was after watching Netflix but early around 8 pm.</t>
  </si>
  <si>
    <t>corn tortillas Guerrero Brand-2 tortillas</t>
  </si>
  <si>
    <t>weight_lifting_increase</t>
  </si>
  <si>
    <t>weight_lifting_decrease</t>
  </si>
  <si>
    <t>tricep extension above head dumbells 25 lbs 3 sets 10 reps
calves 3 sets 12 reps 50 lbs total with dumbells
hamstrings leg flexion laying prone 3 sets 10-12 reps 35 lbs
military press 3 sets 30 lb dumbells
upper trapezius shoulder shrugs 50 lbs dumbells 3 sets 10-12 reps
standing abducturs 3 sets 10-12 reps 20 lbs
squats 3 sets 10 reps barbell 45 lb + 40lbs added weight
leg lifts standing for abs, 3 sets 10-20 reps no added weight
dead lifts 3 sets 10-12 reps dumbells 50 lbs 
quads with leg extensions sitting 3 sets 10-12 reps 40 lbs 
bench press 3 sets 10-12 reps barbell 65 lbs 
obliques side extensions 3 sets 12 reps 25 lbs
tricep chair dips 3 sets 12 reps no added weight
standing adductors 3 sets 10-12 reps 20 lbs
tricep extension rope standing 3 sets 20 lbs
rhomboids scapula abduction 3 sets 12 reps 25 lbs
biceps curls 30 lbs 3 sets 10-12 
shoulder lifts medial/posterior deltoids/latts 3 sets 10 reps 10 lbs</t>
  </si>
  <si>
    <t xml:space="preserve">standing abducturs 3 sets 10-12 reps 20 lbs
squats 3 sets 10 reps barbell 45 lb + 40lbs added weight
leg lifts standing for abs, 3 sets 10-20 reps no added weight
dead lifts 3 sets 10-12 reps dumbells 50 lbs 
tricep extension above head dumbells 25 lbs 3 sets 10-12 reps
calves 3 sets 12 reps 50 lbs total with dumbells
hamstrings leg flexion laying prone 3 sets 10-12 reps 35 lbs
military press 3 sets 30 lb dumbells
upper trapezius shoulder shrugs 50 lbs dumbells 3 sets 10-12 reps
shoulder lifts medial/posterior deltoids/latts 3 sets 10-12 reps 10 lbs
quads with leg extensions sitting 3 sets 10-12 reps 40 lbs 
bench press 3 sets 10-12 reps barbell 65 lbs 
obliques side extensions 3 sets 12 reps 25 lbs
tricep chair dips 3 sets 12 reps no added weight
standing adductors 3 sets 10-12 reps 20 lbs
tricep extension rope standing 3 sets 20 lbs
rhomboids scapula abduction 3 sets 12 reps 25 lbs
biceps curls 30 lbs 3 sets 10-12 
</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</si>
  <si>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+ 20lbs added weight
leg lifts standing for abs, 3 sets 10-20 reps no added weight
dead lifts 3 sets 10-12 reps dumbells 50 lbs 
tricep extension rope standing 3 sets 25 lbs
</t>
  </si>
  <si>
    <t xml:space="preserve">squats 3 sets 10 reps barbell 45 lb + 40lbs added weight
leg lifts standing for abs, 3 sets 10-20 reps no added weight
dead lifts 3 sets 10-12 reps dumbells 50 lbs 
tricep extension rope standing 3 sets 25 lbs
tricep chair dips 3 sets 12 reps no added weight
standing adductors 3 sets 10-12 reps 20 lbs
rhomboids scapula abduction 3 sets 12 reps 25 lbs
biceps curls 30 lbs 3 sets 10-12 
standing abducturs 3 sets 10-12 reps 20 lbs
tricep extension above head dumbells 25 lbs 3 sets 10-12 reps
hamstrings leg flexion laying prone 3 sets 10-12 reps 35 lbs
calves 3 sets 12 reps 50 lbs total with dumbells
military press 3 sets 40 lb dumbells 8 reps
upper trapezius shoulder shrugs 50 lbs dumbells 3 sets 10-12 reps
shoulder lifts medial/posterior deltoids/latts 3 sets 10-12 reps 10 lbs
quads with leg extensions sitting 3 sets 10-12 reps 40 lbs
obliques side extensions 3 sets 12 reps 25 lbs
bench press 3 sets 10-12 reps barbell 65 lbs 
</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</si>
  <si>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</si>
  <si>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</si>
  <si>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</si>
  <si>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</si>
  <si>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tricep +5 lb</t>
  </si>
  <si>
    <t>inner thighs + 5lb, outer thighs + 5 lb</t>
  </si>
  <si>
    <t>inner thighs -5 lb, outer thighs - 5 lb</t>
  </si>
  <si>
    <t>inner thighs +5lb, outer thighs +5lb, quads and glutes + 20 lb, pectoralis major + 20lb</t>
  </si>
  <si>
    <t>tricep + 5lb, calves + 10 lb, pectoralis and deltoids + 10 lb, upper trapezius + 10 lb, hamstrings and Quadratus laborum + 10 lb</t>
  </si>
  <si>
    <t>rhomboids + 5 lb, pectoralis major +10 lb</t>
  </si>
  <si>
    <t>tricep - 5lb</t>
  </si>
  <si>
    <t xml:space="preserve">tricep + 5lb </t>
  </si>
  <si>
    <t xml:space="preserve"> pectoralis major - 10lb</t>
  </si>
  <si>
    <t>pectoralis major +10 lb</t>
  </si>
  <si>
    <t xml:space="preserve">inner thighs +5lb, outer thighs +5lb </t>
  </si>
  <si>
    <t>quads/glutes - 20 lb</t>
  </si>
  <si>
    <t>pectoralis major/deltoid + 10lb</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</si>
  <si>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</si>
  <si>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</si>
  <si>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</si>
  <si>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</si>
  <si>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</si>
  <si>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</si>
  <si>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</si>
  <si>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</si>
  <si>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</si>
  <si>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</si>
  <si>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</si>
  <si>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</si>
  <si>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</si>
  <si>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t>
  </si>
  <si>
    <t>beyondMeat-soy/gluten free-serving 4oz</t>
  </si>
  <si>
    <t>Red Lentil Penne Pasta Barilla brand gluten free-serving 2oz, this is 3.5 oz</t>
  </si>
  <si>
    <t>organic creamy butternut squash soup Pacific brand-1 cup serving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</si>
</sst>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8" fontId="0" fillId="0" borderId="0" xfId="0" applyNumberFormat="1"/>
    <xf numFmtId="0" fontId="0" fillId="0" borderId="0" xfId="0" applyAlignment="1">
      <alignment wrapText="1"/>
    </xf>
    <xf numFmtId="18" fontId="0" fillId="0" borderId="0" xfId="0" applyNumberFormat="1" applyAlignment="1">
      <alignment wrapText="1"/>
    </xf>
    <xf numFmtId="12" fontId="0" fillId="0" borderId="0" xfId="0" applyNumberFormat="1"/>
    <xf numFmtId="0" fontId="0" fillId="2" borderId="0" xfId="0" applyFill="1"/>
    <xf numFmtId="2" fontId="0" fillId="0" borderId="0" xfId="0" applyNumberFormat="1" applyAlignment="1">
      <alignment horizontal="center"/>
    </xf>
    <xf numFmtId="2" fontId="0" fillId="0" borderId="0" xfId="0" applyNumberFormat="1" applyAlignment="1">
      <alignment horizontal="center" vertical="top"/>
    </xf>
    <xf numFmtId="1" fontId="0" fillId="0" borderId="0" xfId="0" applyNumberForma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9"/>
  <sheetViews>
    <sheetView topLeftCell="AA1" zoomScale="85" zoomScaleNormal="85" workbookViewId="0">
      <pane ySplit="1" topLeftCell="A23" activePane="bottomLeft" state="frozen"/>
      <selection activeCell="O1" sqref="O1"/>
      <selection pane="bottomLeft" activeCell="AB26" sqref="AB26"/>
    </sheetView>
  </sheetViews>
  <sheetFormatPr defaultRowHeight="15" x14ac:dyDescent="0.25"/>
  <cols>
    <col min="1" max="2" width="17.7109375" customWidth="1"/>
    <col min="3" max="3" width="16.28515625" customWidth="1"/>
    <col min="4" max="4" width="10" customWidth="1"/>
    <col min="5" max="5" width="21.5703125" customWidth="1"/>
    <col min="6" max="6" width="19.5703125" customWidth="1"/>
    <col min="7" max="8" width="32.5703125" style="6" customWidth="1"/>
    <col min="9" max="9" width="32.5703125" customWidth="1"/>
    <col min="10" max="10" width="20.7109375" customWidth="1"/>
    <col min="11" max="11" width="35.7109375" style="3" customWidth="1"/>
    <col min="13" max="14" width="25.5703125" customWidth="1"/>
    <col min="15" max="15" width="28.5703125" customWidth="1"/>
    <col min="16" max="16" width="34" customWidth="1"/>
    <col min="17" max="17" width="32" customWidth="1"/>
    <col min="18" max="18" width="26.85546875" customWidth="1"/>
    <col min="19" max="19" width="29.85546875" customWidth="1"/>
    <col min="20" max="20" width="31.7109375" customWidth="1"/>
    <col min="21" max="21" width="22.5703125" customWidth="1"/>
    <col min="22" max="22" width="22.28515625" customWidth="1"/>
    <col min="23" max="23" width="19.28515625" customWidth="1"/>
    <col min="24" max="24" width="16.7109375" customWidth="1"/>
    <col min="25" max="25" width="21.7109375" customWidth="1"/>
    <col min="26" max="26" width="20" customWidth="1"/>
    <col min="27" max="28" width="21.5703125" customWidth="1"/>
    <col min="29" max="29" width="25.140625" style="7" customWidth="1"/>
    <col min="30" max="30" width="20.28515625" style="8" customWidth="1"/>
    <col min="31" max="31" width="21.5703125" style="8" customWidth="1"/>
    <col min="32" max="33" width="20.85546875" style="8" customWidth="1"/>
    <col min="34" max="34" width="25.85546875" style="8" customWidth="1"/>
    <col min="35" max="35" width="21.42578125" style="8" customWidth="1"/>
    <col min="36" max="38" width="20.85546875" style="9" customWidth="1"/>
    <col min="39" max="41" width="25.42578125" customWidth="1"/>
    <col min="42" max="42" width="29.42578125" style="9" customWidth="1"/>
    <col min="43" max="43" width="32.7109375" customWidth="1"/>
    <col min="44" max="44" width="16.28515625" customWidth="1"/>
    <col min="45" max="45" width="23.140625" customWidth="1"/>
    <col min="46" max="46" width="15.5703125" customWidth="1"/>
  </cols>
  <sheetData>
    <row r="1" spans="1:51" x14ac:dyDescent="0.25">
      <c r="A1" t="s">
        <v>0</v>
      </c>
      <c r="B1" t="s">
        <v>140</v>
      </c>
      <c r="C1" t="s">
        <v>1</v>
      </c>
      <c r="D1" t="s">
        <v>2</v>
      </c>
      <c r="E1" t="s">
        <v>57</v>
      </c>
      <c r="F1" t="s">
        <v>34</v>
      </c>
      <c r="G1" s="6" t="s">
        <v>29</v>
      </c>
      <c r="H1" s="6" t="s">
        <v>177</v>
      </c>
      <c r="I1" t="s">
        <v>30</v>
      </c>
      <c r="J1" t="s">
        <v>16</v>
      </c>
      <c r="K1" s="3" t="s">
        <v>32</v>
      </c>
      <c r="L1" t="s">
        <v>39</v>
      </c>
      <c r="M1" t="s">
        <v>3</v>
      </c>
      <c r="N1" t="s">
        <v>190</v>
      </c>
      <c r="O1" t="s">
        <v>189</v>
      </c>
      <c r="P1" t="s">
        <v>4</v>
      </c>
      <c r="Q1" t="s">
        <v>5</v>
      </c>
      <c r="R1" t="s">
        <v>6</v>
      </c>
      <c r="S1" t="s">
        <v>7</v>
      </c>
      <c r="T1" t="s">
        <v>8</v>
      </c>
      <c r="U1" t="s">
        <v>9</v>
      </c>
      <c r="V1" t="s">
        <v>10</v>
      </c>
      <c r="W1" t="s">
        <v>11</v>
      </c>
      <c r="X1" t="s">
        <v>12</v>
      </c>
      <c r="Y1" t="s">
        <v>13</v>
      </c>
      <c r="Z1" t="s">
        <v>14</v>
      </c>
      <c r="AA1" t="s">
        <v>91</v>
      </c>
      <c r="AB1" t="s">
        <v>176</v>
      </c>
      <c r="AC1" s="7" t="s">
        <v>90</v>
      </c>
      <c r="AD1" s="8" t="s">
        <v>83</v>
      </c>
      <c r="AE1" s="8" t="s">
        <v>84</v>
      </c>
      <c r="AF1" s="8" t="s">
        <v>85</v>
      </c>
      <c r="AG1" s="8" t="s">
        <v>178</v>
      </c>
      <c r="AH1" s="8" t="s">
        <v>180</v>
      </c>
      <c r="AI1" s="8" t="s">
        <v>86</v>
      </c>
      <c r="AJ1" s="9" t="s">
        <v>110</v>
      </c>
      <c r="AK1" s="9" t="s">
        <v>88</v>
      </c>
      <c r="AL1" s="9" t="s">
        <v>175</v>
      </c>
      <c r="AM1" t="s">
        <v>37</v>
      </c>
      <c r="AN1" s="9" t="s">
        <v>183</v>
      </c>
      <c r="AO1" s="9" t="s">
        <v>184</v>
      </c>
      <c r="AP1" s="9" t="s">
        <v>207</v>
      </c>
      <c r="AQ1" s="9" t="s">
        <v>208</v>
      </c>
      <c r="AR1" t="s">
        <v>56</v>
      </c>
      <c r="AS1" t="s">
        <v>152</v>
      </c>
      <c r="AT1" t="s">
        <v>214</v>
      </c>
      <c r="AU1" t="s">
        <v>209</v>
      </c>
      <c r="AV1" t="s">
        <v>210</v>
      </c>
      <c r="AW1" t="s">
        <v>211</v>
      </c>
      <c r="AX1" t="s">
        <v>212</v>
      </c>
      <c r="AY1" t="s">
        <v>213</v>
      </c>
    </row>
    <row r="2" spans="1:51" ht="24.95" customHeight="1" x14ac:dyDescent="0.25">
      <c r="A2" t="s">
        <v>15</v>
      </c>
      <c r="B2">
        <v>1</v>
      </c>
      <c r="C2" s="1">
        <v>44200</v>
      </c>
      <c r="D2" s="2">
        <v>0.375</v>
      </c>
      <c r="E2" s="2" t="s">
        <v>59</v>
      </c>
      <c r="F2" s="2" t="s">
        <v>35</v>
      </c>
      <c r="G2" s="6" t="s">
        <v>24</v>
      </c>
      <c r="H2" s="6">
        <v>20</v>
      </c>
      <c r="I2" t="s">
        <v>31</v>
      </c>
      <c r="J2" s="2" t="s">
        <v>36</v>
      </c>
      <c r="K2" s="4" t="s">
        <v>48</v>
      </c>
      <c r="L2" s="2">
        <v>0.20833333333333334</v>
      </c>
      <c r="M2">
        <v>142</v>
      </c>
      <c r="N2">
        <v>0</v>
      </c>
      <c r="O2">
        <v>1826.5</v>
      </c>
      <c r="P2" s="5">
        <v>33.5</v>
      </c>
      <c r="Q2">
        <v>12</v>
      </c>
      <c r="R2" s="5">
        <v>12.25</v>
      </c>
      <c r="S2" s="5">
        <v>22.625</v>
      </c>
      <c r="T2" s="5">
        <v>22.625</v>
      </c>
      <c r="U2">
        <v>30</v>
      </c>
      <c r="V2">
        <v>30</v>
      </c>
      <c r="W2" s="5">
        <v>20.6</v>
      </c>
      <c r="X2" s="5">
        <v>20.8</v>
      </c>
      <c r="Y2" s="5">
        <v>20.8</v>
      </c>
      <c r="Z2" s="5">
        <v>20.8</v>
      </c>
      <c r="AA2" t="s">
        <v>181</v>
      </c>
      <c r="AB2" s="3" t="s">
        <v>154</v>
      </c>
      <c r="AC2" s="7">
        <f>140 +180+322+92+162+8.5+25+60+15+162+120+180+200+160</f>
        <v>1826.5</v>
      </c>
      <c r="AD2" s="8">
        <f>2+10+3+5+7+14.5</f>
        <v>41.5</v>
      </c>
      <c r="AE2" s="8">
        <f>3+2+3.5+1+2</f>
        <v>11.5</v>
      </c>
      <c r="AF2" s="8">
        <f>6+12+2+1+6+1+4+8+2</f>
        <v>42</v>
      </c>
      <c r="AG2" s="8">
        <f>32+3+24+19+2+42+42+8.5</f>
        <v>172.5</v>
      </c>
      <c r="AH2" s="8">
        <f>2+1+2+2+8+8+6.5</f>
        <v>29.5</v>
      </c>
      <c r="AI2" s="8">
        <f>380+290+140+330+15+4+360+7</f>
        <v>1526</v>
      </c>
      <c r="AJ2" s="9">
        <v>2</v>
      </c>
      <c r="AK2" s="9">
        <v>1</v>
      </c>
      <c r="AL2" s="9">
        <v>0</v>
      </c>
      <c r="AM2" s="3" t="s">
        <v>38</v>
      </c>
      <c r="AN2" s="3"/>
      <c r="AO2" s="3"/>
      <c r="AQ2" s="3"/>
      <c r="AR2">
        <v>32</v>
      </c>
      <c r="AS2">
        <v>0</v>
      </c>
      <c r="AT2">
        <v>7</v>
      </c>
      <c r="AU2">
        <v>0</v>
      </c>
      <c r="AV2">
        <v>1</v>
      </c>
      <c r="AW2">
        <v>1</v>
      </c>
      <c r="AX2">
        <v>1</v>
      </c>
      <c r="AY2">
        <v>1</v>
      </c>
    </row>
    <row r="3" spans="1:51" ht="24.95" customHeight="1" x14ac:dyDescent="0.25">
      <c r="A3" t="s">
        <v>17</v>
      </c>
      <c r="B3">
        <v>2</v>
      </c>
      <c r="C3" s="1">
        <v>44201</v>
      </c>
      <c r="D3" s="2">
        <v>0.375</v>
      </c>
      <c r="E3" s="2" t="s">
        <v>60</v>
      </c>
      <c r="F3" s="2" t="s">
        <v>35</v>
      </c>
      <c r="G3" s="6" t="s">
        <v>26</v>
      </c>
      <c r="H3" s="6">
        <v>20</v>
      </c>
      <c r="I3" t="s">
        <v>31</v>
      </c>
      <c r="J3" t="s">
        <v>22</v>
      </c>
      <c r="K3" s="4"/>
      <c r="L3" s="2">
        <v>0.58333333333333337</v>
      </c>
      <c r="M3">
        <v>141</v>
      </c>
      <c r="N3">
        <f>M3-M2</f>
        <v>-1</v>
      </c>
      <c r="O3" s="7">
        <f>140 +180+322+92+162+8.5+25+60+15+162+120+180+200+160</f>
        <v>1826.5</v>
      </c>
      <c r="P3">
        <v>33</v>
      </c>
      <c r="Q3" s="5">
        <v>11.75</v>
      </c>
      <c r="R3" s="5">
        <v>11.5</v>
      </c>
      <c r="S3" s="5">
        <v>23.5</v>
      </c>
      <c r="T3" s="5">
        <v>23.5</v>
      </c>
      <c r="U3" s="5">
        <v>20.2</v>
      </c>
      <c r="V3" s="5">
        <v>20.2</v>
      </c>
      <c r="W3" s="5">
        <v>20.2</v>
      </c>
      <c r="X3" s="5">
        <v>20.2</v>
      </c>
      <c r="Y3" s="5">
        <v>20.2</v>
      </c>
      <c r="Z3">
        <v>20</v>
      </c>
      <c r="AA3" t="s">
        <v>72</v>
      </c>
      <c r="AB3" s="3" t="s">
        <v>163</v>
      </c>
      <c r="AC3" s="7">
        <f>140+150+160+92+162+130+60+100+80+290+130+210+100+80</f>
        <v>1884</v>
      </c>
      <c r="AD3" s="8">
        <f>10+1+10+3+5+1+5+12+3+5.25+1+5</f>
        <v>61.25</v>
      </c>
      <c r="AE3" s="8">
        <f>3+7+2+3.5+3.5+6+2+0.75+3.5</f>
        <v>31.25</v>
      </c>
      <c r="AF3" s="8">
        <f>12+3+12+2+4+1+2+6+7+6+2+6</f>
        <v>63</v>
      </c>
      <c r="AG3" s="8">
        <f>14+2+24+42+19+2+21+1+39+19+31.5+21+1</f>
        <v>236.5</v>
      </c>
      <c r="AH3" s="8">
        <f>3+2+8+3+2+3+3+6+2</f>
        <v>32</v>
      </c>
      <c r="AI3" s="8">
        <f>140+30+380+4+670+15+190+1150+670+270+20+190</f>
        <v>3729</v>
      </c>
      <c r="AJ3" s="9">
        <v>2</v>
      </c>
      <c r="AK3" s="9">
        <v>1</v>
      </c>
      <c r="AL3" s="9">
        <v>0</v>
      </c>
      <c r="AM3" s="3" t="s">
        <v>43</v>
      </c>
      <c r="AN3" s="3" t="s">
        <v>193</v>
      </c>
      <c r="AO3" s="3"/>
      <c r="AP3" s="9">
        <v>5</v>
      </c>
      <c r="AQ3" s="3"/>
      <c r="AR3">
        <v>32</v>
      </c>
      <c r="AS3">
        <v>0</v>
      </c>
      <c r="AT3">
        <v>8.5</v>
      </c>
      <c r="AU3">
        <v>0</v>
      </c>
      <c r="AV3">
        <v>1</v>
      </c>
      <c r="AW3">
        <v>1</v>
      </c>
      <c r="AX3">
        <v>1</v>
      </c>
      <c r="AY3">
        <v>1</v>
      </c>
    </row>
    <row r="4" spans="1:51" ht="24.95" customHeight="1" x14ac:dyDescent="0.25">
      <c r="A4" t="s">
        <v>18</v>
      </c>
      <c r="B4">
        <v>3</v>
      </c>
      <c r="C4" s="1">
        <v>44202</v>
      </c>
      <c r="D4" s="2">
        <v>0.22916666666666666</v>
      </c>
      <c r="E4" s="2" t="s">
        <v>22</v>
      </c>
      <c r="F4" s="2" t="s">
        <v>35</v>
      </c>
      <c r="G4" s="6" t="s">
        <v>22</v>
      </c>
      <c r="H4" s="6">
        <v>0</v>
      </c>
      <c r="I4" t="s">
        <v>31</v>
      </c>
      <c r="J4" s="2">
        <v>0.25</v>
      </c>
      <c r="K4" s="4" t="s">
        <v>47</v>
      </c>
      <c r="L4" s="2">
        <v>0.25</v>
      </c>
      <c r="M4">
        <v>142</v>
      </c>
      <c r="N4">
        <f t="shared" ref="N4:N23" si="0">M4-M3</f>
        <v>1</v>
      </c>
      <c r="O4" s="7">
        <f>140+150+160+92+162+130+60+100+80+290+130+210+100+80</f>
        <v>1884</v>
      </c>
      <c r="P4" s="5">
        <v>33.25</v>
      </c>
      <c r="Q4">
        <v>12</v>
      </c>
      <c r="R4">
        <v>12</v>
      </c>
      <c r="S4" s="5">
        <v>23.25</v>
      </c>
      <c r="T4" s="5">
        <v>23.25</v>
      </c>
      <c r="U4">
        <v>20</v>
      </c>
      <c r="V4">
        <v>20</v>
      </c>
      <c r="W4">
        <v>20</v>
      </c>
      <c r="X4">
        <v>20</v>
      </c>
      <c r="Y4" s="5">
        <v>10.6</v>
      </c>
      <c r="Z4" s="5">
        <v>10.6</v>
      </c>
      <c r="AA4" t="s">
        <v>73</v>
      </c>
      <c r="AB4" s="3" t="s">
        <v>164</v>
      </c>
      <c r="AC4" s="7">
        <f>200+160+130+60+92+60+42+162+130+290+200+160+120+140+180+92+290</f>
        <v>2508</v>
      </c>
      <c r="AD4" s="8">
        <f>1+10+3+5+3+12+1+10+3+10+2+12</f>
        <v>72</v>
      </c>
      <c r="AE4" s="8">
        <f>7+2+3.5+2+6+7+2+3+6</f>
        <v>38.5</v>
      </c>
      <c r="AF4" s="8">
        <f>4+12+1+2+2+1+4+7+4+12+6+12+6+2+7</f>
        <v>82</v>
      </c>
      <c r="AG4" s="8">
        <f>42+2+19+2+24+13+11+42+19+39+42+2+19+32+24+39</f>
        <v>371</v>
      </c>
      <c r="AH4" s="8">
        <f>4+3+2+7+2+8+3+3+4+2+2+2+3</f>
        <v>45</v>
      </c>
      <c r="AI4" s="8">
        <f>40+380+670+15+4+670+1150+40+380+330+140+380+1150</f>
        <v>5349</v>
      </c>
      <c r="AJ4" s="9">
        <v>2</v>
      </c>
      <c r="AK4" s="9">
        <v>1</v>
      </c>
      <c r="AL4" s="9">
        <v>0</v>
      </c>
      <c r="AR4">
        <v>32</v>
      </c>
      <c r="AS4">
        <v>0</v>
      </c>
      <c r="AT4">
        <v>7.5</v>
      </c>
      <c r="AU4">
        <v>0</v>
      </c>
      <c r="AV4">
        <v>1</v>
      </c>
      <c r="AW4">
        <v>1</v>
      </c>
      <c r="AX4">
        <v>1</v>
      </c>
      <c r="AY4">
        <v>1</v>
      </c>
    </row>
    <row r="5" spans="1:51" ht="24.95" customHeight="1" x14ac:dyDescent="0.25">
      <c r="A5" t="s">
        <v>19</v>
      </c>
      <c r="B5">
        <v>4</v>
      </c>
      <c r="C5" s="1">
        <v>44203</v>
      </c>
      <c r="D5" s="2">
        <v>0.375</v>
      </c>
      <c r="E5" s="2" t="s">
        <v>61</v>
      </c>
      <c r="F5" s="2" t="s">
        <v>35</v>
      </c>
      <c r="G5" s="6" t="s">
        <v>27</v>
      </c>
      <c r="H5" s="6">
        <v>30</v>
      </c>
      <c r="I5" t="s">
        <v>31</v>
      </c>
      <c r="J5" t="s">
        <v>22</v>
      </c>
      <c r="K5" s="4"/>
      <c r="L5" t="s">
        <v>41</v>
      </c>
      <c r="M5">
        <v>143</v>
      </c>
      <c r="N5">
        <f t="shared" si="0"/>
        <v>1</v>
      </c>
      <c r="O5" s="7">
        <f>200+160+130+60+92+60+42+162+130+290+200+160+120+140+180+92+290</f>
        <v>2508</v>
      </c>
      <c r="P5">
        <v>33</v>
      </c>
      <c r="Q5">
        <v>12</v>
      </c>
      <c r="R5">
        <v>12</v>
      </c>
      <c r="S5" s="5">
        <v>23.75</v>
      </c>
      <c r="T5" s="5">
        <v>23.75</v>
      </c>
      <c r="U5" s="5">
        <v>20.2</v>
      </c>
      <c r="V5" s="5">
        <v>20.2</v>
      </c>
      <c r="W5">
        <v>20</v>
      </c>
      <c r="X5">
        <v>20</v>
      </c>
      <c r="Y5" s="5">
        <v>20.2</v>
      </c>
      <c r="Z5" s="5">
        <v>20.2</v>
      </c>
      <c r="AA5" t="s">
        <v>74</v>
      </c>
      <c r="AB5" s="3" t="s">
        <v>165</v>
      </c>
      <c r="AC5" s="7">
        <f>140+180+322+92+162+8.5+25+60+162+120+180+200+160</f>
        <v>1811.5</v>
      </c>
      <c r="AD5" s="8">
        <f>10+2+29+3+2+2+1+10</f>
        <v>59</v>
      </c>
      <c r="AE5" s="8">
        <f>3+4+2+7</f>
        <v>16</v>
      </c>
      <c r="AF5" s="8">
        <f>12+6+4+2+4+2+4+6+6+4+12</f>
        <v>62</v>
      </c>
      <c r="AG5" s="8">
        <f>32+17+24+42+9+6+13+42+19+32+42+2</f>
        <v>280</v>
      </c>
      <c r="AH5" s="8">
        <f>2+13+2+8+1+7+8+2+2+4</f>
        <v>49</v>
      </c>
      <c r="AI5" s="8">
        <f>140+380+14+4+1+4+330+380+40+380</f>
        <v>1673</v>
      </c>
      <c r="AJ5" s="9">
        <v>2</v>
      </c>
      <c r="AK5" s="9">
        <v>1</v>
      </c>
      <c r="AL5" s="9">
        <v>0</v>
      </c>
      <c r="AM5" s="3" t="s">
        <v>40</v>
      </c>
      <c r="AN5" s="3" t="s">
        <v>194</v>
      </c>
      <c r="AO5" s="3"/>
      <c r="AP5" s="9">
        <f>5+5</f>
        <v>10</v>
      </c>
      <c r="AQ5" s="3"/>
      <c r="AR5">
        <v>32</v>
      </c>
      <c r="AS5">
        <v>0</v>
      </c>
      <c r="AT5">
        <v>10</v>
      </c>
      <c r="AU5">
        <v>0</v>
      </c>
      <c r="AV5">
        <v>1</v>
      </c>
      <c r="AW5">
        <v>1</v>
      </c>
      <c r="AX5">
        <v>1</v>
      </c>
      <c r="AY5">
        <v>1</v>
      </c>
    </row>
    <row r="6" spans="1:51" ht="24.95" customHeight="1" x14ac:dyDescent="0.25">
      <c r="A6" t="s">
        <v>20</v>
      </c>
      <c r="B6">
        <v>5</v>
      </c>
      <c r="C6" s="1">
        <v>44204</v>
      </c>
      <c r="D6" s="2">
        <v>0.70833333333333337</v>
      </c>
      <c r="E6" s="2" t="s">
        <v>62</v>
      </c>
      <c r="F6" s="2" t="s">
        <v>35</v>
      </c>
      <c r="G6" s="6" t="s">
        <v>28</v>
      </c>
      <c r="H6" s="6">
        <v>30</v>
      </c>
      <c r="I6" t="s">
        <v>31</v>
      </c>
      <c r="J6" t="s">
        <v>22</v>
      </c>
      <c r="K6" s="4"/>
      <c r="L6" s="2">
        <v>0.86458333333333337</v>
      </c>
      <c r="M6">
        <v>144</v>
      </c>
      <c r="N6">
        <f t="shared" si="0"/>
        <v>1</v>
      </c>
      <c r="O6" s="7">
        <f>140+180+322+92+162+8.5+25+60+162+120+180+200+160</f>
        <v>1811.5</v>
      </c>
      <c r="P6">
        <v>33</v>
      </c>
      <c r="Q6">
        <v>12</v>
      </c>
      <c r="R6">
        <v>12</v>
      </c>
      <c r="S6">
        <v>24</v>
      </c>
      <c r="T6">
        <v>24</v>
      </c>
      <c r="U6" s="5">
        <v>20.399999999999999</v>
      </c>
      <c r="V6" s="5">
        <v>20.399999999999999</v>
      </c>
      <c r="W6" s="5">
        <v>20.2</v>
      </c>
      <c r="X6" s="5">
        <v>20.399999999999999</v>
      </c>
      <c r="Y6" s="5">
        <v>10.6</v>
      </c>
      <c r="Z6" s="5">
        <v>10.6</v>
      </c>
      <c r="AA6" t="s">
        <v>75</v>
      </c>
      <c r="AB6" s="3" t="s">
        <v>166</v>
      </c>
      <c r="AC6" s="7">
        <f>140+8+210+34+25+60+92+162+290+120+180+140+180+322</f>
        <v>1963</v>
      </c>
      <c r="AD6" s="8">
        <f>10+0.6+5.25+12+3+2+10+2+29</f>
        <v>73.849999999999994</v>
      </c>
      <c r="AE6" s="8">
        <f>3+0.75+6+2+3+4</f>
        <v>18.75</v>
      </c>
      <c r="AF6" s="8">
        <f>12+0.25+6+2+2+4+7+6+6+12+6+4</f>
        <v>67.25</v>
      </c>
      <c r="AG6" s="8">
        <f>0.25+31.5+36+6+13+24+42+39+19+32+32+17</f>
        <v>291.75</v>
      </c>
      <c r="AH6" s="8">
        <f>6+1+7+2+8+3+2+2+2+13</f>
        <v>46</v>
      </c>
      <c r="AI6" s="8">
        <f>140+40+270+4+4+1150+330+380+140+380+14</f>
        <v>2852</v>
      </c>
      <c r="AJ6" s="9">
        <v>2</v>
      </c>
      <c r="AK6" s="9">
        <v>1</v>
      </c>
      <c r="AL6" s="9">
        <v>0</v>
      </c>
      <c r="AM6" s="3" t="s">
        <v>51</v>
      </c>
      <c r="AN6" s="3"/>
      <c r="AO6" s="3"/>
      <c r="AQ6" s="3"/>
      <c r="AR6">
        <v>32</v>
      </c>
      <c r="AS6">
        <v>0</v>
      </c>
      <c r="AT6">
        <v>7.5</v>
      </c>
      <c r="AU6">
        <v>0</v>
      </c>
      <c r="AV6">
        <v>1</v>
      </c>
      <c r="AW6">
        <v>1</v>
      </c>
      <c r="AX6">
        <v>1</v>
      </c>
      <c r="AY6">
        <v>1</v>
      </c>
    </row>
    <row r="7" spans="1:51" ht="24.95" customHeight="1" x14ac:dyDescent="0.25">
      <c r="A7" t="s">
        <v>21</v>
      </c>
      <c r="B7">
        <v>6</v>
      </c>
      <c r="C7" s="1">
        <v>44205</v>
      </c>
      <c r="D7" s="2">
        <v>0.6875</v>
      </c>
      <c r="E7" s="2" t="s">
        <v>63</v>
      </c>
      <c r="F7" s="2" t="s">
        <v>35</v>
      </c>
      <c r="G7" s="6" t="s">
        <v>25</v>
      </c>
      <c r="H7" s="6">
        <v>25</v>
      </c>
      <c r="I7" t="s">
        <v>31</v>
      </c>
      <c r="J7" s="2">
        <v>0.79166666666666663</v>
      </c>
      <c r="K7" s="4" t="s">
        <v>46</v>
      </c>
      <c r="L7" s="2">
        <v>0.77083333333333337</v>
      </c>
      <c r="M7">
        <v>147.6</v>
      </c>
      <c r="N7">
        <f t="shared" si="0"/>
        <v>3.5999999999999943</v>
      </c>
      <c r="O7" s="7">
        <f>140+8+210+34+25+60+92+162+290+120+180+140+180+322</f>
        <v>1963</v>
      </c>
      <c r="P7">
        <v>32</v>
      </c>
      <c r="Q7">
        <v>12</v>
      </c>
      <c r="R7">
        <v>12</v>
      </c>
      <c r="S7">
        <v>24</v>
      </c>
      <c r="T7">
        <v>24</v>
      </c>
      <c r="U7" s="5">
        <v>20.2</v>
      </c>
      <c r="V7" s="5">
        <v>20.2</v>
      </c>
      <c r="W7" s="5">
        <v>20.2</v>
      </c>
      <c r="X7" s="5">
        <v>20.2</v>
      </c>
      <c r="Y7" s="5">
        <v>10.6</v>
      </c>
      <c r="Z7">
        <v>20</v>
      </c>
      <c r="AA7" t="s">
        <v>92</v>
      </c>
      <c r="AB7" s="3" t="s">
        <v>167</v>
      </c>
      <c r="AC7" s="7">
        <f>200+160+120+34+81+92+100+80+200+160+120+60</f>
        <v>1407</v>
      </c>
      <c r="AD7" s="8">
        <f>1+10+3+1+5+1+10+3+5</f>
        <v>39</v>
      </c>
      <c r="AE7" s="8">
        <f>7+2+3.5+7+2+3.5</f>
        <v>25</v>
      </c>
      <c r="AF7" s="8">
        <f>4+12+6+2+2+2+6+4+12+6+1</f>
        <v>57</v>
      </c>
      <c r="AG7" s="8">
        <f>42+2+19+36+21+24+21+1+42+2+19+2</f>
        <v>231</v>
      </c>
      <c r="AH7" s="8">
        <f>2+4+2+2+4+2</f>
        <v>16</v>
      </c>
      <c r="AI7" s="8">
        <f>40+380+330+2+4+20+190+40+380+330+15</f>
        <v>1731</v>
      </c>
      <c r="AJ7" s="9">
        <v>2</v>
      </c>
      <c r="AK7" s="9">
        <v>1</v>
      </c>
      <c r="AL7" s="9">
        <v>0</v>
      </c>
      <c r="AM7" s="3" t="s">
        <v>50</v>
      </c>
      <c r="AN7" s="3"/>
      <c r="AO7" s="3" t="s">
        <v>195</v>
      </c>
      <c r="AQ7" s="3">
        <f>-5-5</f>
        <v>-10</v>
      </c>
      <c r="AR7">
        <v>32</v>
      </c>
      <c r="AS7">
        <v>0</v>
      </c>
      <c r="AT7">
        <v>9.5</v>
      </c>
      <c r="AU7">
        <v>0</v>
      </c>
      <c r="AV7">
        <v>1</v>
      </c>
      <c r="AW7">
        <v>1</v>
      </c>
      <c r="AX7">
        <v>1</v>
      </c>
      <c r="AY7">
        <v>1</v>
      </c>
    </row>
    <row r="8" spans="1:51" ht="24.95" customHeight="1" x14ac:dyDescent="0.25">
      <c r="A8" t="s">
        <v>42</v>
      </c>
      <c r="B8">
        <v>7</v>
      </c>
      <c r="C8" s="1">
        <v>44206</v>
      </c>
      <c r="D8" s="2"/>
      <c r="E8" s="2" t="s">
        <v>22</v>
      </c>
      <c r="F8" s="2" t="s">
        <v>35</v>
      </c>
      <c r="H8" s="6">
        <v>0</v>
      </c>
      <c r="J8" s="2"/>
      <c r="K8" s="4"/>
      <c r="L8" s="2">
        <v>0.30208333333333331</v>
      </c>
      <c r="M8">
        <v>145.4</v>
      </c>
      <c r="N8">
        <f t="shared" si="0"/>
        <v>-2.1999999999999886</v>
      </c>
      <c r="O8" s="7">
        <f>200+160+120+34+81+92+100+80+200+160+120+60</f>
        <v>1407</v>
      </c>
      <c r="AA8" t="s">
        <v>77</v>
      </c>
      <c r="AB8" s="3" t="s">
        <v>168</v>
      </c>
      <c r="AC8" s="7">
        <f>200+160+120+60+57+162+92+140+200+160+120+60+210+8+180+322+290</f>
        <v>2541</v>
      </c>
      <c r="AD8" s="8">
        <f>1+10+3+5+3.5+1+10+3+5+15+0.6+2+29+12</f>
        <v>100.1</v>
      </c>
      <c r="AE8" s="8">
        <f>7+2+3.5+0.5+7+2+3.5+4.5+4+6</f>
        <v>40</v>
      </c>
      <c r="AF8" s="8">
        <f>4+12+6+1+4+2+4+4+12+6+1+18+0.25+6+4+7</f>
        <v>91.25</v>
      </c>
      <c r="AG8" s="8">
        <f>42+2+19+2+15+42+24+21+42+2+19+2+0.25+32+17+39</f>
        <v>320.25</v>
      </c>
      <c r="AH8" s="8">
        <f>4+2+3+8+2+4+4+2+2+13+3</f>
        <v>47</v>
      </c>
      <c r="AI8" s="8">
        <f>40+380+330+15+1+4+180+40+380+330+15+210+40+380+14+1150</f>
        <v>3509</v>
      </c>
      <c r="AJ8" s="9">
        <v>2</v>
      </c>
      <c r="AK8" s="9">
        <v>1</v>
      </c>
      <c r="AL8" s="9">
        <v>0</v>
      </c>
      <c r="AM8" s="3"/>
      <c r="AN8" s="3"/>
      <c r="AO8" s="3"/>
      <c r="AQ8" s="3"/>
      <c r="AR8">
        <v>32</v>
      </c>
      <c r="AS8">
        <v>0</v>
      </c>
      <c r="AT8">
        <v>9</v>
      </c>
      <c r="AU8">
        <v>0</v>
      </c>
      <c r="AV8">
        <v>1</v>
      </c>
      <c r="AW8">
        <v>1</v>
      </c>
      <c r="AX8">
        <v>1</v>
      </c>
      <c r="AY8">
        <v>1</v>
      </c>
    </row>
    <row r="9" spans="1:51" ht="24.95" customHeight="1" x14ac:dyDescent="0.25">
      <c r="A9" t="s">
        <v>15</v>
      </c>
      <c r="B9">
        <v>8</v>
      </c>
      <c r="C9" s="1">
        <v>44207</v>
      </c>
      <c r="D9" s="2">
        <v>0.375</v>
      </c>
      <c r="E9" s="2" t="s">
        <v>64</v>
      </c>
      <c r="F9" s="2" t="s">
        <v>35</v>
      </c>
      <c r="G9" s="6" t="s">
        <v>24</v>
      </c>
      <c r="H9" s="6">
        <v>20</v>
      </c>
      <c r="I9" t="s">
        <v>31</v>
      </c>
      <c r="J9" s="2">
        <v>0.45833333333333331</v>
      </c>
      <c r="K9" s="4" t="s">
        <v>33</v>
      </c>
      <c r="L9" s="2">
        <v>0.25</v>
      </c>
      <c r="M9">
        <v>141.80000000000001</v>
      </c>
      <c r="N9">
        <f t="shared" si="0"/>
        <v>-3.5999999999999943</v>
      </c>
      <c r="O9" s="7">
        <f>200+160+120+60+57+162+92+140+200+160+120+60+210+8+180+322+290</f>
        <v>2541</v>
      </c>
      <c r="P9">
        <v>33</v>
      </c>
      <c r="Q9">
        <v>12</v>
      </c>
      <c r="R9">
        <v>12</v>
      </c>
      <c r="S9">
        <v>23</v>
      </c>
      <c r="T9">
        <v>23</v>
      </c>
      <c r="U9" s="5">
        <v>20.2</v>
      </c>
      <c r="V9" s="5">
        <v>20.2</v>
      </c>
      <c r="W9" s="5">
        <v>20.2</v>
      </c>
      <c r="X9" s="5">
        <v>20.2</v>
      </c>
      <c r="Y9" s="5">
        <v>10.4</v>
      </c>
      <c r="Z9" s="5">
        <v>10.4</v>
      </c>
      <c r="AA9" t="s">
        <v>78</v>
      </c>
      <c r="AB9" s="3" t="s">
        <v>155</v>
      </c>
      <c r="AC9" s="7">
        <f>140+180+322+81+200+160+260+60+57+81+290+92+81+60+180</f>
        <v>2244</v>
      </c>
      <c r="AD9" s="8">
        <f>10+2+29+1+10+6+5+12+5+2</f>
        <v>82</v>
      </c>
      <c r="AE9" s="8">
        <f>3+4+7+4+3.5+6+3.5</f>
        <v>31</v>
      </c>
      <c r="AF9" s="8">
        <f>12+6+4+2+4+12+1+2+7+2+2+1+6</f>
        <v>61</v>
      </c>
      <c r="AG9" s="8">
        <f>32+17+21+42+2+38+2+15+21+39+24+21+2+32</f>
        <v>308</v>
      </c>
      <c r="AH9" s="8">
        <f>2+13+4+4+6+3+3+2+4+2</f>
        <v>43</v>
      </c>
      <c r="AI9" s="8">
        <f>140+380+14+2+40+380+1340+15+1150+2+15+380</f>
        <v>3858</v>
      </c>
      <c r="AJ9" s="9">
        <v>2</v>
      </c>
      <c r="AK9" s="9">
        <v>1</v>
      </c>
      <c r="AL9" s="9">
        <v>0</v>
      </c>
      <c r="AM9" s="3" t="s">
        <v>44</v>
      </c>
      <c r="AN9" s="3" t="s">
        <v>196</v>
      </c>
      <c r="AO9" s="3"/>
      <c r="AP9" s="9">
        <f>5+5+20+20</f>
        <v>50</v>
      </c>
      <c r="AQ9" s="3"/>
      <c r="AR9">
        <v>32</v>
      </c>
      <c r="AS9">
        <v>0</v>
      </c>
      <c r="AT9">
        <v>9.5</v>
      </c>
      <c r="AU9">
        <v>0</v>
      </c>
      <c r="AV9">
        <v>1</v>
      </c>
      <c r="AW9">
        <v>1</v>
      </c>
      <c r="AX9">
        <v>1</v>
      </c>
      <c r="AY9">
        <v>1</v>
      </c>
    </row>
    <row r="10" spans="1:51" ht="24.95" customHeight="1" x14ac:dyDescent="0.25">
      <c r="A10" t="s">
        <v>17</v>
      </c>
      <c r="B10">
        <v>9</v>
      </c>
      <c r="C10" s="1">
        <v>44208</v>
      </c>
      <c r="D10" s="2">
        <v>0.375</v>
      </c>
      <c r="E10" s="2" t="s">
        <v>61</v>
      </c>
      <c r="F10" s="2" t="s">
        <v>35</v>
      </c>
      <c r="G10" s="6" t="s">
        <v>26</v>
      </c>
      <c r="H10" s="6">
        <v>20</v>
      </c>
      <c r="I10" t="s">
        <v>31</v>
      </c>
      <c r="J10" t="s">
        <v>22</v>
      </c>
      <c r="K10" s="4"/>
      <c r="L10" s="2">
        <v>0.47916666666666669</v>
      </c>
      <c r="M10">
        <v>146.6</v>
      </c>
      <c r="N10">
        <f t="shared" si="0"/>
        <v>4.7999999999999829</v>
      </c>
      <c r="O10" s="7">
        <f>140+180+322+81+200+160+260+60+57+81+290+92+81+60+180</f>
        <v>2244</v>
      </c>
      <c r="P10" s="5">
        <v>33.5</v>
      </c>
      <c r="Q10">
        <v>12</v>
      </c>
      <c r="R10">
        <v>12</v>
      </c>
      <c r="S10">
        <v>23</v>
      </c>
      <c r="T10">
        <v>23</v>
      </c>
      <c r="U10">
        <v>20</v>
      </c>
      <c r="V10">
        <v>20</v>
      </c>
      <c r="W10" s="5">
        <v>20.2</v>
      </c>
      <c r="X10" s="5">
        <v>20.2</v>
      </c>
      <c r="Y10" s="5">
        <v>10.199999999999999</v>
      </c>
      <c r="Z10" s="5">
        <v>10.199999999999999</v>
      </c>
      <c r="AA10" t="s">
        <v>179</v>
      </c>
      <c r="AB10" s="3" t="s">
        <v>156</v>
      </c>
      <c r="AC10" s="7">
        <f>200+160+260+150+60+81+105+200+250+31+37+90+120+60+150+200+160+25+90+70+30+120+270+42</f>
        <v>2961</v>
      </c>
      <c r="AD10" s="8">
        <f>1+10+6+8+5+1+18+0.34+3.5+3+5+8+1+10+5+3+7+0.5</f>
        <v>95.34</v>
      </c>
      <c r="AE10" s="8">
        <f>7+4+1+3.5+6+0.04+1+2+3.5+1+7+3+2+1+0</f>
        <v>42.04</v>
      </c>
      <c r="AF10" s="8">
        <f>4+12+2+1+1+4+20+3+1+3+6+1+2+4+12+3+4+6+6+1</f>
        <v>96</v>
      </c>
      <c r="AG10" s="8">
        <f>42+2+38+17+2+21+27+44+3+6+7+12+19+2+42+2+6+46+16+1+8+19+10</f>
        <v>392</v>
      </c>
      <c r="AH10" s="8">
        <f>4+6+1+4+3+1+2+2+2+3+2+1+4+1+3+1+2+3</f>
        <v>45</v>
      </c>
      <c r="AI10" s="8">
        <f>40+380+1340+170+15+2+1+390+30.03+5+460+330+15+170+40+380+165+250+150+330+55+1</f>
        <v>4719.0300000000007</v>
      </c>
      <c r="AJ10" s="9">
        <v>2</v>
      </c>
      <c r="AK10" s="9">
        <v>1</v>
      </c>
      <c r="AL10" s="9">
        <v>0</v>
      </c>
      <c r="AM10" s="3" t="s">
        <v>45</v>
      </c>
      <c r="AN10" s="3" t="s">
        <v>197</v>
      </c>
      <c r="AO10" s="3"/>
      <c r="AP10" s="9">
        <f>5+10+10+10+10</f>
        <v>45</v>
      </c>
      <c r="AQ10" s="3"/>
      <c r="AR10">
        <v>32</v>
      </c>
      <c r="AS10">
        <v>0</v>
      </c>
      <c r="AT10">
        <v>8.5</v>
      </c>
      <c r="AU10">
        <v>0</v>
      </c>
      <c r="AV10">
        <v>1</v>
      </c>
      <c r="AW10">
        <v>1</v>
      </c>
      <c r="AX10">
        <v>1</v>
      </c>
      <c r="AY10">
        <v>1</v>
      </c>
    </row>
    <row r="11" spans="1:51" ht="24.95" customHeight="1" x14ac:dyDescent="0.25">
      <c r="A11" t="s">
        <v>18</v>
      </c>
      <c r="B11">
        <v>10</v>
      </c>
      <c r="C11" s="1">
        <v>44209</v>
      </c>
      <c r="D11" s="2">
        <v>0.22916666666666666</v>
      </c>
      <c r="E11" s="2" t="s">
        <v>22</v>
      </c>
      <c r="F11" s="2" t="s">
        <v>35</v>
      </c>
      <c r="G11" s="6" t="s">
        <v>22</v>
      </c>
      <c r="H11" s="6">
        <v>0</v>
      </c>
      <c r="I11" t="s">
        <v>31</v>
      </c>
      <c r="J11" s="2">
        <v>0.22916666666666666</v>
      </c>
      <c r="K11" s="4" t="s">
        <v>49</v>
      </c>
      <c r="L11" s="2">
        <v>0.23958333333333334</v>
      </c>
      <c r="M11">
        <v>143.80000000000001</v>
      </c>
      <c r="N11">
        <f t="shared" si="0"/>
        <v>-2.7999999999999829</v>
      </c>
      <c r="O11" s="7">
        <f>200+160+260+150+60+81+105+200+250+31+37+90+120+60+150+200+160+25+90+70+30+120+270+42</f>
        <v>2961</v>
      </c>
      <c r="P11" s="5">
        <v>33.5</v>
      </c>
      <c r="Q11">
        <v>12</v>
      </c>
      <c r="R11">
        <v>12</v>
      </c>
      <c r="S11">
        <v>23</v>
      </c>
      <c r="T11">
        <v>23</v>
      </c>
      <c r="U11">
        <v>20</v>
      </c>
      <c r="V11" s="5">
        <v>20.2</v>
      </c>
      <c r="W11">
        <v>20</v>
      </c>
      <c r="X11">
        <v>20</v>
      </c>
      <c r="Y11" s="5">
        <v>10.199999999999999</v>
      </c>
      <c r="Z11" s="5">
        <v>10.199999999999999</v>
      </c>
      <c r="AA11" t="s">
        <v>82</v>
      </c>
      <c r="AB11" s="3" t="s">
        <v>157</v>
      </c>
      <c r="AC11" s="7">
        <f>200+250+31+37+90+105+42+60+25+57+260+180+81+200+250+31+37+90+150+60+290</f>
        <v>2526</v>
      </c>
      <c r="AD11" s="8">
        <f>1+18+0.34+3.5+6+2+1+18+0.34+3.5+8+5+12</f>
        <v>78.680000000000007</v>
      </c>
      <c r="AE11" s="8">
        <f>6+0.04+1+4+6+0.04+1+1+3.5+6</f>
        <v>28.58</v>
      </c>
      <c r="AF11" s="8">
        <f>4+20+3+1+3+1+1+2+6+2+1+4+20+3+1+3+2+1+7</f>
        <v>85</v>
      </c>
      <c r="AG11" s="8">
        <f>44+3+6+7+12+27+11+13+6+15+38+32+21+27+44+3+6+7+12+17+2+39</f>
        <v>392</v>
      </c>
      <c r="AH11" s="8">
        <f>1+2+2+2+3+3+2+7+1+3+6+2+4+3+1+2+2+2+3+1+3</f>
        <v>55</v>
      </c>
      <c r="AI11" s="8">
        <f>390+30.03+5+460+1+1+1+1340+380+2+1+390+30.03+5+460+170+15+1150</f>
        <v>4831.0599999999995</v>
      </c>
      <c r="AJ11" s="9">
        <v>2</v>
      </c>
      <c r="AK11" s="9">
        <v>1</v>
      </c>
      <c r="AL11" s="9">
        <v>0</v>
      </c>
      <c r="AM11" s="3"/>
      <c r="AN11" s="3"/>
      <c r="AO11" s="3"/>
      <c r="AQ11" s="3"/>
      <c r="AR11">
        <v>32</v>
      </c>
      <c r="AS11">
        <v>0</v>
      </c>
      <c r="AT11">
        <v>8</v>
      </c>
      <c r="AU11">
        <v>0</v>
      </c>
      <c r="AV11">
        <v>1</v>
      </c>
      <c r="AW11">
        <v>1</v>
      </c>
      <c r="AX11">
        <v>1</v>
      </c>
      <c r="AY11">
        <v>1</v>
      </c>
    </row>
    <row r="12" spans="1:51" ht="24.95" customHeight="1" x14ac:dyDescent="0.25">
      <c r="A12" t="s">
        <v>19</v>
      </c>
      <c r="B12">
        <v>11</v>
      </c>
      <c r="C12" s="1">
        <v>44210</v>
      </c>
      <c r="D12" s="2">
        <v>0.375</v>
      </c>
      <c r="E12" s="2" t="s">
        <v>65</v>
      </c>
      <c r="F12" s="2" t="s">
        <v>35</v>
      </c>
      <c r="G12" s="6" t="s">
        <v>27</v>
      </c>
      <c r="H12" s="6">
        <v>30</v>
      </c>
      <c r="I12" t="s">
        <v>31</v>
      </c>
      <c r="J12" t="s">
        <v>22</v>
      </c>
      <c r="K12" s="4"/>
      <c r="L12" s="2">
        <v>0.48958333333333331</v>
      </c>
      <c r="M12">
        <v>145.4</v>
      </c>
      <c r="N12">
        <f t="shared" si="0"/>
        <v>1.5999999999999943</v>
      </c>
      <c r="O12" s="7">
        <f>200+250+31+37+90+105+42+60+25+57+260+180+81+200+250+31+37+90+150+60+290</f>
        <v>2526</v>
      </c>
      <c r="P12" s="5">
        <v>33.5</v>
      </c>
      <c r="Q12">
        <v>12</v>
      </c>
      <c r="R12">
        <v>12</v>
      </c>
      <c r="S12" s="5">
        <v>23.5</v>
      </c>
      <c r="T12" s="5">
        <v>23.5</v>
      </c>
      <c r="U12">
        <v>20</v>
      </c>
      <c r="V12" s="5">
        <v>20.2</v>
      </c>
      <c r="W12" s="5">
        <v>20.399999999999999</v>
      </c>
      <c r="X12" s="5">
        <v>20.2</v>
      </c>
      <c r="Y12" s="5">
        <v>10.199999999999999</v>
      </c>
      <c r="Z12" s="5">
        <v>10.4</v>
      </c>
      <c r="AA12" t="s">
        <v>93</v>
      </c>
      <c r="AB12" s="3" t="s">
        <v>158</v>
      </c>
      <c r="AC12" s="7">
        <f>200+250+31+37+90+105+81+200+250+31+37+90+42+60+25+260+180+114+81+290+105+150</f>
        <v>2709</v>
      </c>
      <c r="AD12" s="8">
        <f>1+18+0.34+3.5+1+18+0.34+3.5+6+2+10+12+8</f>
        <v>83.68</v>
      </c>
      <c r="AE12" s="8">
        <f>6+0.04+1+6+0.04+1+4+1.5+6+1</f>
        <v>26.58</v>
      </c>
      <c r="AF12" s="8">
        <f>4+20+3+1+3+1+2+4+20+3+1+3+1+2+6+1+2+7+1+2</f>
        <v>87</v>
      </c>
      <c r="AG12" s="8">
        <f>44+3+6+7+12+27+21+44+3+6+7+12+11+13+6+38+32+6+21+39+27+17</f>
        <v>402</v>
      </c>
      <c r="AH12" s="8">
        <f>1+2+2+2+3+3+4+1+2+2+2+3+2+7+1+6+2+4+3+3+1</f>
        <v>56</v>
      </c>
      <c r="AI12" s="8">
        <f>390+30.03+5+460+1+2+390+30.03+5+460+1+1340+380+5+2+1150+1+170</f>
        <v>4822.0599999999995</v>
      </c>
      <c r="AJ12" s="9">
        <v>2</v>
      </c>
      <c r="AK12" s="9">
        <v>1</v>
      </c>
      <c r="AL12" s="9">
        <v>0</v>
      </c>
      <c r="AM12" s="3" t="s">
        <v>52</v>
      </c>
      <c r="AN12" s="3" t="s">
        <v>198</v>
      </c>
      <c r="AO12" s="3" t="s">
        <v>199</v>
      </c>
      <c r="AP12" s="9">
        <f>5+10</f>
        <v>15</v>
      </c>
      <c r="AQ12" s="3">
        <f>-5</f>
        <v>-5</v>
      </c>
      <c r="AR12">
        <v>32</v>
      </c>
      <c r="AS12">
        <v>0</v>
      </c>
      <c r="AT12">
        <v>8.5</v>
      </c>
      <c r="AU12">
        <v>0</v>
      </c>
      <c r="AV12">
        <v>1</v>
      </c>
      <c r="AW12">
        <v>1</v>
      </c>
      <c r="AX12">
        <v>1</v>
      </c>
      <c r="AY12">
        <v>1</v>
      </c>
    </row>
    <row r="13" spans="1:51" ht="24.95" customHeight="1" x14ac:dyDescent="0.25">
      <c r="A13" t="s">
        <v>20</v>
      </c>
      <c r="B13">
        <v>12</v>
      </c>
      <c r="C13" s="1">
        <v>44211</v>
      </c>
      <c r="D13" s="2">
        <v>0.72916666666666663</v>
      </c>
      <c r="E13" s="2" t="s">
        <v>66</v>
      </c>
      <c r="F13" s="2" t="s">
        <v>35</v>
      </c>
      <c r="G13" s="6" t="s">
        <v>28</v>
      </c>
      <c r="H13" s="6">
        <v>30</v>
      </c>
      <c r="I13" t="s">
        <v>31</v>
      </c>
      <c r="J13" t="s">
        <v>22</v>
      </c>
      <c r="K13" s="4"/>
      <c r="L13" s="2">
        <v>0.875</v>
      </c>
      <c r="M13">
        <v>145.4</v>
      </c>
      <c r="N13">
        <f t="shared" si="0"/>
        <v>0</v>
      </c>
      <c r="O13" s="7">
        <f>200+250+31+37+90+105+81+200+250+31+37+90+42+60+25+260+180+114+81+290+105+150</f>
        <v>2709</v>
      </c>
      <c r="P13">
        <v>33</v>
      </c>
      <c r="Q13">
        <v>12</v>
      </c>
      <c r="R13">
        <v>12</v>
      </c>
      <c r="S13" s="5">
        <v>23.5</v>
      </c>
      <c r="T13" s="5">
        <v>23.5</v>
      </c>
      <c r="U13">
        <v>20</v>
      </c>
      <c r="V13" s="5">
        <v>20.2</v>
      </c>
      <c r="W13" s="5">
        <v>20.2</v>
      </c>
      <c r="X13" s="5">
        <v>20.2</v>
      </c>
      <c r="Y13" s="5">
        <v>10.199999999999999</v>
      </c>
      <c r="Z13" s="5">
        <v>10.199999999999999</v>
      </c>
      <c r="AA13" t="s">
        <v>81</v>
      </c>
      <c r="AB13" s="3" t="s">
        <v>159</v>
      </c>
      <c r="AC13" s="7">
        <f>200+250+31+37+90+114+180+81+105+42+60+25+270+150+180+220+60+31+37</f>
        <v>2163</v>
      </c>
      <c r="AD13" s="8">
        <f>1+18+0.34+3.5+10+2+8+3.5+13+1+0.34</f>
        <v>60.680000000000007</v>
      </c>
      <c r="AE13" s="8">
        <f>6+0.04+1+1.5+1+7+0.04</f>
        <v>16.579999999999998</v>
      </c>
      <c r="AF13" s="8">
        <f>4+20+3+1+3+1+6+2+1+1+2+6+2+24+17+2+3+1</f>
        <v>99</v>
      </c>
      <c r="AG13" s="8">
        <f>44+3+6+7+12+6+32+21+27+11+13+6+46+17+20+12+12+6+7</f>
        <v>308</v>
      </c>
      <c r="AH13" s="8">
        <f>1+2+2+2+3+2+4+3+2+7+1+3+1+13+3+2+2+2</f>
        <v>55</v>
      </c>
      <c r="AI13" s="8">
        <f>390+30.03+5+460+5+380+2+1+1+55+170+570+420+30.03+5</f>
        <v>2524.06</v>
      </c>
      <c r="AJ13" s="9">
        <v>2</v>
      </c>
      <c r="AK13" s="9">
        <v>1</v>
      </c>
      <c r="AL13" s="9">
        <v>0</v>
      </c>
      <c r="AM13" s="3" t="s">
        <v>53</v>
      </c>
      <c r="AN13" s="3" t="s">
        <v>200</v>
      </c>
      <c r="AO13" s="3"/>
      <c r="AP13" s="9">
        <f>5</f>
        <v>5</v>
      </c>
      <c r="AQ13" s="3"/>
      <c r="AR13">
        <v>32</v>
      </c>
      <c r="AS13">
        <v>0</v>
      </c>
      <c r="AT13">
        <v>6</v>
      </c>
      <c r="AU13">
        <v>0</v>
      </c>
      <c r="AV13">
        <v>1</v>
      </c>
      <c r="AW13">
        <v>1</v>
      </c>
      <c r="AX13">
        <v>1</v>
      </c>
      <c r="AY13">
        <v>1</v>
      </c>
    </row>
    <row r="14" spans="1:51" ht="24.95" customHeight="1" x14ac:dyDescent="0.25">
      <c r="A14" t="s">
        <v>21</v>
      </c>
      <c r="B14">
        <v>13</v>
      </c>
      <c r="C14" s="1">
        <v>44212</v>
      </c>
      <c r="D14" s="2">
        <v>0.625</v>
      </c>
      <c r="E14" s="2" t="s">
        <v>71</v>
      </c>
      <c r="F14" s="2" t="s">
        <v>58</v>
      </c>
      <c r="G14" s="6" t="s">
        <v>25</v>
      </c>
      <c r="H14" s="6">
        <v>25</v>
      </c>
      <c r="I14" t="s">
        <v>31</v>
      </c>
      <c r="J14" s="2">
        <v>0.25</v>
      </c>
      <c r="K14" s="4" t="s">
        <v>54</v>
      </c>
      <c r="L14" s="2">
        <v>0.23958333333333334</v>
      </c>
      <c r="M14">
        <v>143.80000000000001</v>
      </c>
      <c r="N14">
        <f t="shared" si="0"/>
        <v>-1.5999999999999943</v>
      </c>
      <c r="O14" s="7">
        <f>200+250+31+37+90+114+180+81+105+42+60+25+270+150+180+220+60+31+37</f>
        <v>2163</v>
      </c>
      <c r="P14" s="5">
        <v>33.5</v>
      </c>
      <c r="Q14">
        <v>12</v>
      </c>
      <c r="R14">
        <v>12</v>
      </c>
      <c r="S14" s="5">
        <v>22.5</v>
      </c>
      <c r="T14">
        <v>23</v>
      </c>
      <c r="U14" s="5">
        <v>20.2</v>
      </c>
      <c r="V14" s="5">
        <v>20.399999999999999</v>
      </c>
      <c r="W14" s="5">
        <v>20.2</v>
      </c>
      <c r="X14" s="5">
        <v>20.2</v>
      </c>
      <c r="Y14" s="5">
        <v>10.4</v>
      </c>
      <c r="Z14" s="5">
        <v>10.199999999999999</v>
      </c>
      <c r="AA14" t="s">
        <v>76</v>
      </c>
      <c r="AB14" s="3" t="s">
        <v>160</v>
      </c>
      <c r="AC14" s="7">
        <f>140+322+105+25+42+60+25+81+160+57+105+180+220+60+31+37+42+60+25</f>
        <v>1777</v>
      </c>
      <c r="AD14" s="8">
        <f>10+29+7+3.5+13+1+0.34</f>
        <v>63.84</v>
      </c>
      <c r="AE14" s="8">
        <f>3+4+2+7+0.04</f>
        <v>16.04</v>
      </c>
      <c r="AF14" s="8">
        <f>12+4+1+1+2+2+2+1+24+17+2+3+1+1+2</f>
        <v>75</v>
      </c>
      <c r="AG14" s="8">
        <f>17+27+6+11+13+6+21+21+15+27+20+12+12+6+7+11+6</f>
        <v>238</v>
      </c>
      <c r="AH14" s="8">
        <f>13+3+1+2+7+1+4+2+3+3+13+3+2+2+2+2+7+1</f>
        <v>71</v>
      </c>
      <c r="AI14" s="8">
        <f>140+14+1+1+2+1+570+420+30.03+1</f>
        <v>1180.03</v>
      </c>
      <c r="AJ14" s="9">
        <v>2</v>
      </c>
      <c r="AK14" s="9">
        <v>1</v>
      </c>
      <c r="AL14" s="9">
        <v>0</v>
      </c>
      <c r="AM14" s="3" t="s">
        <v>55</v>
      </c>
      <c r="AN14" s="3"/>
      <c r="AO14" s="3" t="s">
        <v>201</v>
      </c>
      <c r="AQ14" s="3">
        <f>-10</f>
        <v>-10</v>
      </c>
      <c r="AR14">
        <v>31</v>
      </c>
      <c r="AS14">
        <v>0</v>
      </c>
      <c r="AT14">
        <v>7.5</v>
      </c>
      <c r="AU14">
        <v>1</v>
      </c>
      <c r="AV14">
        <v>1</v>
      </c>
      <c r="AW14">
        <v>1</v>
      </c>
      <c r="AX14">
        <v>1</v>
      </c>
      <c r="AY14">
        <v>1</v>
      </c>
    </row>
    <row r="15" spans="1:51" ht="24.95" customHeight="1" x14ac:dyDescent="0.25">
      <c r="A15" t="s">
        <v>42</v>
      </c>
      <c r="B15">
        <v>14</v>
      </c>
      <c r="C15" s="1">
        <v>44213</v>
      </c>
      <c r="D15" s="2"/>
      <c r="E15" s="2" t="s">
        <v>22</v>
      </c>
      <c r="F15" s="2" t="s">
        <v>58</v>
      </c>
      <c r="H15" s="6">
        <v>0</v>
      </c>
      <c r="J15" s="2"/>
      <c r="K15" s="4"/>
      <c r="L15" s="2">
        <v>0.66666666666666663</v>
      </c>
      <c r="M15">
        <v>143.80000000000001</v>
      </c>
      <c r="N15">
        <f t="shared" si="0"/>
        <v>0</v>
      </c>
      <c r="O15" s="7">
        <f>140+322+105+25+42+60+25+81+160+57+105+180+220+60+31+37+42+60+25</f>
        <v>1777</v>
      </c>
      <c r="P15" s="5">
        <v>32</v>
      </c>
      <c r="Q15">
        <v>12</v>
      </c>
      <c r="R15">
        <v>12</v>
      </c>
      <c r="S15" s="5">
        <v>23</v>
      </c>
      <c r="T15">
        <v>23</v>
      </c>
      <c r="U15">
        <v>20</v>
      </c>
      <c r="V15" s="5">
        <v>20</v>
      </c>
      <c r="W15" s="5">
        <v>20</v>
      </c>
      <c r="X15" s="5">
        <v>20.2</v>
      </c>
      <c r="Y15" s="5">
        <v>10</v>
      </c>
      <c r="Z15" s="5">
        <v>10.199999999999999</v>
      </c>
      <c r="AA15" t="s">
        <v>89</v>
      </c>
      <c r="AB15" s="3" t="s">
        <v>169</v>
      </c>
      <c r="AC15" s="7">
        <f>200+200+114+105+260+114+140+105+180+220+60+31+37+42+60+25+105+107+190</f>
        <v>2295</v>
      </c>
      <c r="AD15" s="8">
        <f>1+9+10+6+10+7+3.5+13+1+0.34</f>
        <v>60.84</v>
      </c>
      <c r="AE15" s="8">
        <f>9+1.5+4+1.5+5+7+0.04</f>
        <v>28.04</v>
      </c>
      <c r="AF15" s="8">
        <f>4+12+1+1+1+2+1+24+17+2+3+1+1+2+1+1+6</f>
        <v>80</v>
      </c>
      <c r="AG15" s="8">
        <f>42+2+6+27+38+6+18+27+20+12+12+6+7+11+13+6+27+28+41</f>
        <v>349</v>
      </c>
      <c r="AH15" s="8">
        <f>4+3+6+2+3+13+3+2+2+2+2+7+1+3+3+7</f>
        <v>63</v>
      </c>
      <c r="AI15" s="8">
        <f>40+340+5+1+1340+5+90+1+570+420+30.03+5+1+1+3+1450</f>
        <v>4302.0300000000007</v>
      </c>
      <c r="AJ15" s="9">
        <v>2</v>
      </c>
      <c r="AK15" s="9">
        <v>2</v>
      </c>
      <c r="AL15" s="9">
        <v>0</v>
      </c>
      <c r="AM15" s="3"/>
      <c r="AN15" s="3"/>
      <c r="AO15" s="3"/>
      <c r="AQ15" s="3"/>
      <c r="AR15">
        <v>32</v>
      </c>
      <c r="AS15">
        <v>0</v>
      </c>
      <c r="AT15">
        <v>3.5</v>
      </c>
      <c r="AU15">
        <v>1</v>
      </c>
      <c r="AV15">
        <v>1</v>
      </c>
      <c r="AW15">
        <v>1</v>
      </c>
      <c r="AX15">
        <v>1</v>
      </c>
      <c r="AY15">
        <v>1</v>
      </c>
    </row>
    <row r="16" spans="1:51" ht="24.95" customHeight="1" x14ac:dyDescent="0.25">
      <c r="A16" t="s">
        <v>15</v>
      </c>
      <c r="B16">
        <v>15</v>
      </c>
      <c r="C16" s="1">
        <v>44214</v>
      </c>
      <c r="D16" s="2">
        <v>0.39583333333333331</v>
      </c>
      <c r="E16" s="2" t="s">
        <v>64</v>
      </c>
      <c r="F16" s="2" t="s">
        <v>58</v>
      </c>
      <c r="G16" s="6" t="s">
        <v>27</v>
      </c>
      <c r="H16" s="6">
        <v>30</v>
      </c>
      <c r="I16" t="s">
        <v>31</v>
      </c>
      <c r="J16" s="2">
        <v>0.3125</v>
      </c>
      <c r="K16" s="4" t="s">
        <v>67</v>
      </c>
      <c r="L16" s="2">
        <v>0.2986111111111111</v>
      </c>
      <c r="M16">
        <v>143.80000000000001</v>
      </c>
      <c r="N16">
        <f t="shared" si="0"/>
        <v>0</v>
      </c>
      <c r="O16" s="7">
        <f>200+200+114+105+260+114+140+105+180+220+60+31+37+42+60+25+105+107+190</f>
        <v>2295</v>
      </c>
      <c r="P16" s="5">
        <v>32.5</v>
      </c>
      <c r="Q16" s="5">
        <v>11.75</v>
      </c>
      <c r="R16" s="5">
        <v>11.75</v>
      </c>
      <c r="S16" s="5">
        <v>22.5</v>
      </c>
      <c r="T16" s="5">
        <v>22.5</v>
      </c>
      <c r="U16" s="5">
        <v>20</v>
      </c>
      <c r="V16" s="5">
        <v>20</v>
      </c>
      <c r="W16" s="5">
        <v>20</v>
      </c>
      <c r="X16" s="5">
        <v>20</v>
      </c>
      <c r="Y16" s="5">
        <v>10</v>
      </c>
      <c r="Z16" s="5">
        <v>10.199999999999999</v>
      </c>
      <c r="AA16" t="s">
        <v>80</v>
      </c>
      <c r="AB16" s="3" t="s">
        <v>170</v>
      </c>
      <c r="AC16" s="7">
        <f>200+200+140+200+200+140+105+340+60+25+180+220+60+31+37+100</f>
        <v>2238</v>
      </c>
      <c r="AD16" s="8">
        <f>1+9+10+1+9+10+5+5+3.5+13+1+0.34+4.5</f>
        <v>72.34</v>
      </c>
      <c r="AE16" s="8">
        <f>9+3+9+3+3.5+7+0.04+4.5</f>
        <v>39.04</v>
      </c>
      <c r="AF16" s="8">
        <f>4+12+12+4+12+12+1+17+1+24+17+2+3+1+6</f>
        <v>128</v>
      </c>
      <c r="AG16" s="8">
        <f>42+2+42+2+27+57+2+6+20+12+12+6+7+1</f>
        <v>238</v>
      </c>
      <c r="AH16" s="8">
        <f>4+4+3+16+1+13+3+2+2+2</f>
        <v>50</v>
      </c>
      <c r="AI16" s="8">
        <f>40+340+140+40+340+140+1+1670+15+570+420+30.03+5+170</f>
        <v>3921.03</v>
      </c>
      <c r="AJ16" s="9">
        <v>2</v>
      </c>
      <c r="AK16" s="9">
        <v>1</v>
      </c>
      <c r="AL16" s="9">
        <v>0</v>
      </c>
      <c r="AM16" s="3" t="s">
        <v>185</v>
      </c>
      <c r="AN16" s="3" t="s">
        <v>202</v>
      </c>
      <c r="AO16" s="3" t="s">
        <v>199</v>
      </c>
      <c r="AP16" s="9">
        <f>10</f>
        <v>10</v>
      </c>
      <c r="AQ16" s="3">
        <f>-5</f>
        <v>-5</v>
      </c>
      <c r="AR16">
        <v>31</v>
      </c>
      <c r="AS16">
        <v>0</v>
      </c>
      <c r="AT16">
        <v>8</v>
      </c>
      <c r="AU16">
        <v>1</v>
      </c>
      <c r="AV16">
        <v>1</v>
      </c>
      <c r="AW16">
        <v>1</v>
      </c>
      <c r="AX16">
        <v>1</v>
      </c>
      <c r="AY16">
        <v>1</v>
      </c>
    </row>
    <row r="17" spans="1:51" ht="24.95" customHeight="1" x14ac:dyDescent="0.25">
      <c r="A17" t="s">
        <v>17</v>
      </c>
      <c r="B17">
        <v>16</v>
      </c>
      <c r="C17" s="1">
        <v>44215</v>
      </c>
      <c r="D17" s="2">
        <v>0.375</v>
      </c>
      <c r="E17" s="2" t="s">
        <v>62</v>
      </c>
      <c r="F17" s="2" t="s">
        <v>58</v>
      </c>
      <c r="G17" s="6" t="s">
        <v>68</v>
      </c>
      <c r="H17" s="6">
        <v>28</v>
      </c>
      <c r="I17" t="s">
        <v>31</v>
      </c>
      <c r="J17" t="s">
        <v>22</v>
      </c>
      <c r="K17" s="4"/>
      <c r="L17" s="2">
        <v>0.75</v>
      </c>
      <c r="M17">
        <v>146.4</v>
      </c>
      <c r="N17">
        <f t="shared" si="0"/>
        <v>2.5999999999999943</v>
      </c>
      <c r="O17" s="7">
        <f>200+200+140+200+200+140+105+340+60+25+180+220+60+31+37+100</f>
        <v>2238</v>
      </c>
      <c r="P17" s="5">
        <v>32.5</v>
      </c>
      <c r="Q17" s="5">
        <v>11.5</v>
      </c>
      <c r="R17" s="5">
        <v>11.5</v>
      </c>
      <c r="S17" s="5">
        <v>22.5</v>
      </c>
      <c r="T17" s="5">
        <v>22.5</v>
      </c>
      <c r="U17" s="5">
        <v>20</v>
      </c>
      <c r="V17" s="5">
        <v>20</v>
      </c>
      <c r="W17" s="5">
        <v>20</v>
      </c>
      <c r="X17" s="5">
        <v>20</v>
      </c>
      <c r="Y17" s="5">
        <v>10.4</v>
      </c>
      <c r="Z17" s="5">
        <v>10.4</v>
      </c>
      <c r="AA17" t="s">
        <v>79</v>
      </c>
      <c r="AB17" s="3" t="s">
        <v>171</v>
      </c>
      <c r="AC17" s="7">
        <f>105+25+160+322+200+330+90+250+31+37+81+150+200+160+120+322+105</f>
        <v>2688</v>
      </c>
      <c r="AD17" s="8">
        <f>7+29+9+2.5+3.5+18+0.34+1+1+10+3+29</f>
        <v>113.34</v>
      </c>
      <c r="AE17" s="8">
        <f>2+4+9+0.5+1+6+0.04+7+2+4</f>
        <v>35.54</v>
      </c>
      <c r="AF17" s="8">
        <f>1+2+4+12+23+3+20+3+1+2+3+4+12+6+4+1</f>
        <v>101</v>
      </c>
      <c r="AG17" s="8">
        <f>27+6+21+17+2+61+12+3+6+7+21+33+42+2+19+17+27</f>
        <v>323</v>
      </c>
      <c r="AH17" s="8">
        <f>3+1+2+13+5+3+2+2+2+4+2+4+2+13+3</f>
        <v>61</v>
      </c>
      <c r="AI17" s="8">
        <f>1+14+340+460+390+30.03+5+2+280+40+380+330+14+1</f>
        <v>2287.0299999999997</v>
      </c>
      <c r="AJ17" s="9">
        <v>2</v>
      </c>
      <c r="AK17" s="9">
        <v>1</v>
      </c>
      <c r="AL17" s="9">
        <v>0</v>
      </c>
      <c r="AM17" s="3" t="s">
        <v>186</v>
      </c>
      <c r="AN17" s="3"/>
      <c r="AO17" s="3"/>
      <c r="AQ17" s="3"/>
      <c r="AR17">
        <v>31</v>
      </c>
      <c r="AS17">
        <v>0</v>
      </c>
      <c r="AT17">
        <v>6</v>
      </c>
      <c r="AU17">
        <v>1</v>
      </c>
      <c r="AV17">
        <v>1</v>
      </c>
      <c r="AW17">
        <v>1</v>
      </c>
      <c r="AX17">
        <v>1</v>
      </c>
      <c r="AY17">
        <v>1</v>
      </c>
    </row>
    <row r="18" spans="1:51" ht="24.95" customHeight="1" x14ac:dyDescent="0.25">
      <c r="A18" t="s">
        <v>18</v>
      </c>
      <c r="B18">
        <v>17</v>
      </c>
      <c r="C18" s="1">
        <v>44216</v>
      </c>
      <c r="D18" s="2">
        <v>0.22916666666666666</v>
      </c>
      <c r="E18" s="2" t="s">
        <v>22</v>
      </c>
      <c r="F18" s="2" t="s">
        <v>58</v>
      </c>
      <c r="G18" s="6" t="s">
        <v>22</v>
      </c>
      <c r="H18" s="6">
        <v>0</v>
      </c>
      <c r="I18" t="s">
        <v>31</v>
      </c>
      <c r="J18" s="2">
        <v>0.22916666666666666</v>
      </c>
      <c r="K18" s="4" t="s">
        <v>67</v>
      </c>
      <c r="L18" s="2">
        <v>0.16666666666666666</v>
      </c>
      <c r="M18">
        <v>147.6</v>
      </c>
      <c r="N18">
        <f t="shared" si="0"/>
        <v>1.1999999999999886</v>
      </c>
      <c r="O18" s="7">
        <f>105+25+160+322+200+330+90+250+31+37+81+150+200+160+120+322+105</f>
        <v>2688</v>
      </c>
      <c r="P18" s="5">
        <v>32.5</v>
      </c>
      <c r="Q18" s="5">
        <v>11.875</v>
      </c>
      <c r="R18" s="5">
        <v>11.875</v>
      </c>
      <c r="S18" s="5">
        <v>22.75</v>
      </c>
      <c r="T18" s="5">
        <v>22.75</v>
      </c>
      <c r="U18" s="5">
        <v>20</v>
      </c>
      <c r="V18" s="5">
        <v>20</v>
      </c>
      <c r="W18" s="5">
        <v>20</v>
      </c>
      <c r="X18" s="5">
        <v>20</v>
      </c>
      <c r="Y18" s="5">
        <v>10.199999999999999</v>
      </c>
      <c r="Z18" s="5">
        <v>10.4</v>
      </c>
      <c r="AA18" t="s">
        <v>150</v>
      </c>
      <c r="AB18" s="3" t="s">
        <v>161</v>
      </c>
      <c r="AC18" s="7">
        <f>330+90+250+31+37+15+150+160+322+160+57+81+105+330+90+250+31+37</f>
        <v>2526</v>
      </c>
      <c r="AD18" s="8">
        <f>2.5+3.5+18+0.34+8+7+29+10+2.5+3.5+18+0.34</f>
        <v>102.68</v>
      </c>
      <c r="AE18" s="8">
        <f>0.5+1+6+0.04+1+2+4+7+0.5+1+6+0.04</f>
        <v>29.08</v>
      </c>
      <c r="AF18" s="8">
        <f>23+3+20+3+1+1+2+2+4+12+2+23+3+20+3+1</f>
        <v>123</v>
      </c>
      <c r="AG18" s="8">
        <f>61+12+3+6+7+2+17+21+17+2+15+21+27+61+12+3+6+7</f>
        <v>300</v>
      </c>
      <c r="AH18" s="8">
        <f>5+3+2+2+2+1+1+2+13+3+4+3+11+3+2+2+2</f>
        <v>61</v>
      </c>
      <c r="AI18" s="8">
        <f>460+390+30.03+5+35+170+14+380+1+2+1+460+390+30.03+5</f>
        <v>2373.06</v>
      </c>
      <c r="AJ18" s="9">
        <v>3</v>
      </c>
      <c r="AK18" s="9">
        <v>2</v>
      </c>
      <c r="AL18" s="9">
        <v>0</v>
      </c>
      <c r="AM18" s="3"/>
      <c r="AN18" s="3"/>
      <c r="AO18" s="3"/>
      <c r="AQ18" s="3"/>
      <c r="AR18">
        <v>31</v>
      </c>
      <c r="AS18">
        <v>0</v>
      </c>
      <c r="AT18">
        <v>6.5</v>
      </c>
      <c r="AU18">
        <v>1</v>
      </c>
      <c r="AV18">
        <v>1</v>
      </c>
      <c r="AW18">
        <v>1</v>
      </c>
      <c r="AX18">
        <v>1</v>
      </c>
      <c r="AY18">
        <v>1</v>
      </c>
    </row>
    <row r="19" spans="1:51" ht="24.95" customHeight="1" x14ac:dyDescent="0.25">
      <c r="A19" t="s">
        <v>19</v>
      </c>
      <c r="B19">
        <v>18</v>
      </c>
      <c r="C19" s="1">
        <v>44217</v>
      </c>
      <c r="D19" s="2">
        <v>0.375</v>
      </c>
      <c r="E19" s="2" t="s">
        <v>64</v>
      </c>
      <c r="F19" s="2" t="s">
        <v>58</v>
      </c>
      <c r="G19" s="6" t="s">
        <v>27</v>
      </c>
      <c r="H19" s="6">
        <v>30</v>
      </c>
      <c r="I19" t="s">
        <v>31</v>
      </c>
      <c r="J19" t="s">
        <v>22</v>
      </c>
      <c r="K19" s="4"/>
      <c r="L19" s="2">
        <v>0.3125</v>
      </c>
      <c r="M19">
        <v>146.4</v>
      </c>
      <c r="N19">
        <f t="shared" si="0"/>
        <v>-1.1999999999999886</v>
      </c>
      <c r="O19" s="7">
        <f>330+90+250+31+37+15+150+160+322+160+57+81+105+330+90+250+31+37</f>
        <v>2526</v>
      </c>
      <c r="P19" s="5">
        <v>32.5</v>
      </c>
      <c r="Q19" s="5">
        <v>11.5</v>
      </c>
      <c r="R19" s="5">
        <v>11.5</v>
      </c>
      <c r="S19" s="5">
        <v>22</v>
      </c>
      <c r="T19" s="5">
        <v>22</v>
      </c>
      <c r="U19" s="5">
        <v>20</v>
      </c>
      <c r="V19" s="5">
        <v>20.2</v>
      </c>
      <c r="W19" s="5">
        <v>20.2</v>
      </c>
      <c r="X19" s="5">
        <v>20.2</v>
      </c>
      <c r="Y19" s="5">
        <v>10.4</v>
      </c>
      <c r="Z19" s="5">
        <v>10.199999999999999</v>
      </c>
      <c r="AA19" t="s">
        <v>153</v>
      </c>
      <c r="AB19" s="3" t="s">
        <v>162</v>
      </c>
      <c r="AC19" s="7">
        <f>140+322+100+80+81+330+90+250+31+37+105+200+160+81+34+107+270</f>
        <v>2418</v>
      </c>
      <c r="AD19" s="8">
        <f>10+29+1+5+2.5+3.5+18+0.34+2+10+7</f>
        <v>88.34</v>
      </c>
      <c r="AE19" s="8">
        <f>3+4+3.5+0.5+1+6+0.04+7+1</f>
        <v>26.04</v>
      </c>
      <c r="AF19" s="8">
        <f>12+4+2+6+2+23+3+20+3+1+1+4+12+2+1+6</f>
        <v>102</v>
      </c>
      <c r="AG19" s="8">
        <f>17+21+1+21+61+12+3+6+7+27+42+2+21+36+28+46</f>
        <v>351</v>
      </c>
      <c r="AH19" s="8">
        <f>13+2+4+11+3+2+2+2+3+4+4+3+3</f>
        <v>56</v>
      </c>
      <c r="AI19" s="8">
        <f>140+14+20+190+2+460+390+30.03+5+1+40+380+2+4+3+55</f>
        <v>1736.03</v>
      </c>
      <c r="AJ19" s="9">
        <v>3</v>
      </c>
      <c r="AK19" s="9">
        <v>1</v>
      </c>
      <c r="AL19" s="9">
        <v>0</v>
      </c>
      <c r="AM19" s="3" t="s">
        <v>187</v>
      </c>
      <c r="AN19" s="3" t="s">
        <v>203</v>
      </c>
      <c r="AO19" s="3" t="s">
        <v>204</v>
      </c>
      <c r="AP19" s="9">
        <f>5+5</f>
        <v>10</v>
      </c>
      <c r="AQ19" s="3">
        <f>-20</f>
        <v>-20</v>
      </c>
      <c r="AR19">
        <v>31</v>
      </c>
      <c r="AS19">
        <v>1</v>
      </c>
      <c r="AT19">
        <v>7.5</v>
      </c>
      <c r="AU19">
        <v>1</v>
      </c>
      <c r="AV19">
        <v>1</v>
      </c>
      <c r="AW19">
        <v>1</v>
      </c>
      <c r="AX19">
        <v>1</v>
      </c>
      <c r="AY19">
        <v>1</v>
      </c>
    </row>
    <row r="20" spans="1:51" ht="24.95" customHeight="1" x14ac:dyDescent="0.25">
      <c r="A20" t="s">
        <v>20</v>
      </c>
      <c r="B20">
        <v>19</v>
      </c>
      <c r="C20" s="1">
        <v>44218</v>
      </c>
      <c r="D20" s="2">
        <v>0.70833333333333337</v>
      </c>
      <c r="E20" s="2" t="s">
        <v>138</v>
      </c>
      <c r="F20" s="2" t="s">
        <v>58</v>
      </c>
      <c r="G20" s="6" t="s">
        <v>28</v>
      </c>
      <c r="H20" s="6">
        <v>30</v>
      </c>
      <c r="I20" t="s">
        <v>31</v>
      </c>
      <c r="J20" t="s">
        <v>22</v>
      </c>
      <c r="K20" s="4"/>
      <c r="L20" s="2">
        <v>0.84722222222222221</v>
      </c>
      <c r="M20">
        <v>147.19999999999999</v>
      </c>
      <c r="N20">
        <f t="shared" si="0"/>
        <v>0.79999999999998295</v>
      </c>
      <c r="O20" s="7">
        <f>140+322+100+80+81+330+90+250+31+37+105+200+160+81+34+107+270</f>
        <v>2418</v>
      </c>
      <c r="P20" s="5">
        <v>33.5</v>
      </c>
      <c r="Q20" s="5">
        <v>11.5</v>
      </c>
      <c r="R20" s="5">
        <v>11.5</v>
      </c>
      <c r="S20" s="5">
        <v>23</v>
      </c>
      <c r="T20" s="5">
        <v>23</v>
      </c>
      <c r="U20" s="5">
        <v>10.8</v>
      </c>
      <c r="V20" s="5">
        <v>20</v>
      </c>
      <c r="W20" s="5">
        <v>20.2</v>
      </c>
      <c r="X20" s="5">
        <v>20</v>
      </c>
      <c r="Y20" s="5">
        <v>10.6</v>
      </c>
      <c r="Z20" s="5">
        <v>10.199999999999999</v>
      </c>
      <c r="AA20" t="s">
        <v>151</v>
      </c>
      <c r="AB20" s="3" t="s">
        <v>172</v>
      </c>
      <c r="AC20" s="7">
        <f>160+322+80+105+120+81+8.5+57+80+160+100+80</f>
        <v>1353.5</v>
      </c>
      <c r="AD20" s="8">
        <f>7+29+5+3+10+5+7+1+5</f>
        <v>72</v>
      </c>
      <c r="AE20" s="8">
        <f>2+4+3.5+2+3+3.5+2+3.5</f>
        <v>23.5</v>
      </c>
      <c r="AF20" s="8">
        <f>2+4+1+6+2+12+6+2+2+6</f>
        <v>43</v>
      </c>
      <c r="AG20" s="8">
        <f>21+17+1+27+19+21+9+15+1+21+21+1</f>
        <v>174</v>
      </c>
      <c r="AH20" s="8">
        <f>2+13+3+2+3+2+2</f>
        <v>27</v>
      </c>
      <c r="AI20" s="8">
        <f>14+190+1+330+1+1+140+190+20+190</f>
        <v>1077</v>
      </c>
      <c r="AJ20" s="9">
        <v>3</v>
      </c>
      <c r="AK20" s="9">
        <v>2</v>
      </c>
      <c r="AL20" s="9">
        <v>0</v>
      </c>
      <c r="AM20" s="3" t="s">
        <v>188</v>
      </c>
      <c r="AN20" s="3" t="s">
        <v>205</v>
      </c>
      <c r="AO20" s="3"/>
      <c r="AP20" s="9">
        <f>10</f>
        <v>10</v>
      </c>
      <c r="AQ20" s="3"/>
      <c r="AR20">
        <v>31</v>
      </c>
      <c r="AS20">
        <v>1</v>
      </c>
      <c r="AT20">
        <v>7.5</v>
      </c>
      <c r="AU20">
        <v>1</v>
      </c>
      <c r="AV20">
        <v>1</v>
      </c>
      <c r="AW20">
        <v>1</v>
      </c>
      <c r="AX20">
        <v>1</v>
      </c>
      <c r="AY20">
        <v>1</v>
      </c>
    </row>
    <row r="21" spans="1:51" ht="24.95" customHeight="1" x14ac:dyDescent="0.25">
      <c r="A21" t="s">
        <v>21</v>
      </c>
      <c r="B21">
        <v>20</v>
      </c>
      <c r="C21" s="1">
        <v>44219</v>
      </c>
      <c r="D21" s="2">
        <v>0.6875</v>
      </c>
      <c r="E21" s="2" t="s">
        <v>139</v>
      </c>
      <c r="F21" s="2" t="s">
        <v>58</v>
      </c>
      <c r="G21" s="6" t="s">
        <v>69</v>
      </c>
      <c r="H21" s="6">
        <v>30</v>
      </c>
      <c r="I21" t="s">
        <v>31</v>
      </c>
      <c r="J21" s="2">
        <v>0.79166666666666663</v>
      </c>
      <c r="K21" s="4" t="s">
        <v>67</v>
      </c>
      <c r="L21" s="2">
        <v>0.21875</v>
      </c>
      <c r="M21">
        <v>144.19999999999999</v>
      </c>
      <c r="N21">
        <f t="shared" si="0"/>
        <v>-3</v>
      </c>
      <c r="O21" s="7">
        <f>160+322+80+105+120+81+8.5+57+80+160+100+80</f>
        <v>1353.5</v>
      </c>
      <c r="P21" s="5">
        <v>32</v>
      </c>
      <c r="Q21" s="5">
        <v>11.5</v>
      </c>
      <c r="R21" s="5">
        <v>11.5</v>
      </c>
      <c r="S21" s="5">
        <v>22.5</v>
      </c>
      <c r="T21" s="5">
        <v>22.5</v>
      </c>
      <c r="U21" s="5">
        <v>20</v>
      </c>
      <c r="V21" s="5">
        <v>20.2</v>
      </c>
      <c r="W21" s="5">
        <v>10.8</v>
      </c>
      <c r="X21" s="5">
        <v>10.8</v>
      </c>
      <c r="Y21" s="5">
        <v>10.199999999999999</v>
      </c>
      <c r="Z21" s="5">
        <v>10</v>
      </c>
      <c r="AA21" t="s">
        <v>191</v>
      </c>
      <c r="AB21" s="3" t="s">
        <v>173</v>
      </c>
      <c r="AC21" s="7">
        <f>100+80+70+12.75+57+105+107+81+240+200+160+310+80+81+200+90</f>
        <v>1973.75</v>
      </c>
      <c r="AD21" s="8">
        <f>1+5+5+6+2+10+3.5+5+1+3.5</f>
        <v>42</v>
      </c>
      <c r="AE21" s="8">
        <f>3.5+1.5+4+7+0.5+3.5+1</f>
        <v>21</v>
      </c>
      <c r="AF21" s="8">
        <f>2+6+6+1+2+12+4+12+16+6+2+4+3</f>
        <v>76</v>
      </c>
      <c r="AG21" s="8">
        <f>21+1+13.5+15+27+28+21+38+42+2+52+44+12+1+21</f>
        <v>338.5</v>
      </c>
      <c r="AH21" s="8">
        <f>2+3+4+4+8+6+2+1+3</f>
        <v>33</v>
      </c>
      <c r="AI21" s="8">
        <f>20+190+70+2+1+3+3+2+660+40+380+1630+190+2+460</f>
        <v>3653</v>
      </c>
      <c r="AJ21" s="9">
        <v>3</v>
      </c>
      <c r="AK21" s="9">
        <v>1</v>
      </c>
      <c r="AL21" s="9">
        <v>1</v>
      </c>
      <c r="AM21" s="3" t="s">
        <v>136</v>
      </c>
      <c r="AN21" s="3"/>
      <c r="AO21" s="3" t="s">
        <v>206</v>
      </c>
      <c r="AQ21" s="3">
        <f>-10</f>
        <v>-10</v>
      </c>
      <c r="AR21">
        <v>31</v>
      </c>
      <c r="AS21">
        <v>1</v>
      </c>
      <c r="AT21">
        <v>7</v>
      </c>
      <c r="AU21">
        <v>1</v>
      </c>
      <c r="AV21">
        <v>1</v>
      </c>
      <c r="AW21">
        <v>1</v>
      </c>
      <c r="AX21">
        <v>1</v>
      </c>
      <c r="AY21">
        <v>1</v>
      </c>
    </row>
    <row r="22" spans="1:51" ht="24.95" customHeight="1" x14ac:dyDescent="0.25">
      <c r="A22" t="s">
        <v>42</v>
      </c>
      <c r="B22">
        <v>21</v>
      </c>
      <c r="C22" s="1">
        <v>44220</v>
      </c>
      <c r="D22" s="2"/>
      <c r="E22" s="2" t="s">
        <v>22</v>
      </c>
      <c r="F22" s="2" t="s">
        <v>58</v>
      </c>
      <c r="G22" s="6" t="s">
        <v>22</v>
      </c>
      <c r="H22" s="6">
        <v>0</v>
      </c>
      <c r="J22" s="2"/>
      <c r="K22" s="4"/>
      <c r="L22" s="2">
        <v>0.86805555555555547</v>
      </c>
      <c r="M22">
        <v>143.80000000000001</v>
      </c>
      <c r="N22">
        <f t="shared" si="0"/>
        <v>-0.39999999999997726</v>
      </c>
      <c r="O22" s="7">
        <f>100+80+70+12.75+57+105+107+81+240+200+160+310+80+81+200+90</f>
        <v>1973.75</v>
      </c>
      <c r="P22" s="5">
        <v>32</v>
      </c>
      <c r="Q22" s="5">
        <v>11.5</v>
      </c>
      <c r="R22" s="5">
        <v>11.5</v>
      </c>
      <c r="S22" s="5">
        <v>22.5</v>
      </c>
      <c r="T22" s="5">
        <v>22.5</v>
      </c>
      <c r="U22" s="5">
        <v>20.2</v>
      </c>
      <c r="V22" s="5">
        <v>20.2</v>
      </c>
      <c r="W22" s="5">
        <v>20.2</v>
      </c>
      <c r="X22" s="5">
        <v>20.2</v>
      </c>
      <c r="Y22" s="5">
        <v>10.199999999999999</v>
      </c>
      <c r="Z22" s="5">
        <v>10.4</v>
      </c>
      <c r="AA22" t="s">
        <v>192</v>
      </c>
      <c r="AB22" s="3" t="s">
        <v>174</v>
      </c>
      <c r="AC22" s="7">
        <f>200+90+20+200+38.25+57+107+81+240+200+90+20+200+81+57</f>
        <v>1681.25</v>
      </c>
      <c r="AD22" s="8">
        <f>1+3.5+1.5+9+1.6+1+3.5+1.5+9</f>
        <v>31.6</v>
      </c>
      <c r="AE22" s="8">
        <f>1+1+9+1+1+9</f>
        <v>22</v>
      </c>
      <c r="AF22" s="8">
        <f>4+3+2+12+1+2+4.8+4+3+2+12+2</f>
        <v>51.8</v>
      </c>
      <c r="AG22" s="8">
        <f>44+12+40.5+15+28+21+33+44+12+21+15</f>
        <v>285.5</v>
      </c>
      <c r="AH22" s="8">
        <f>1+3+3+3+4+3.2+1+3+4+3</f>
        <v>28.2</v>
      </c>
      <c r="AI22" s="8">
        <f>460+100+340+6+1+3+2+448+460+100+340+2+1</f>
        <v>2263</v>
      </c>
      <c r="AJ22" s="9">
        <v>3</v>
      </c>
      <c r="AK22" s="9">
        <v>1</v>
      </c>
      <c r="AL22" s="9">
        <v>1</v>
      </c>
      <c r="AM22" s="3"/>
      <c r="AN22" s="3"/>
      <c r="AO22" s="3"/>
      <c r="AQ22" s="3"/>
      <c r="AR22">
        <v>31</v>
      </c>
      <c r="AS22">
        <v>1</v>
      </c>
      <c r="AT22">
        <v>7</v>
      </c>
      <c r="AU22">
        <v>1</v>
      </c>
      <c r="AV22">
        <v>1</v>
      </c>
      <c r="AW22">
        <v>1</v>
      </c>
      <c r="AX22">
        <v>1</v>
      </c>
      <c r="AY22">
        <v>1</v>
      </c>
    </row>
    <row r="23" spans="1:51" ht="24.95" customHeight="1" x14ac:dyDescent="0.25">
      <c r="A23" t="s">
        <v>15</v>
      </c>
      <c r="B23">
        <v>22</v>
      </c>
      <c r="C23" s="1">
        <v>44221</v>
      </c>
      <c r="D23" t="s">
        <v>23</v>
      </c>
      <c r="L23" s="2">
        <v>0.58333333333333337</v>
      </c>
      <c r="M23">
        <v>141.6</v>
      </c>
      <c r="N23">
        <f t="shared" si="0"/>
        <v>-2.2000000000000171</v>
      </c>
      <c r="O23" s="7">
        <f>200+90+20+200+38.25+57+107+81+240+200+90+20+200+81+57</f>
        <v>1681.25</v>
      </c>
      <c r="P23" s="5">
        <v>31.5</v>
      </c>
      <c r="Q23" s="5">
        <v>11.25</v>
      </c>
      <c r="R23" s="5">
        <v>11.25</v>
      </c>
      <c r="S23" s="5">
        <v>22.5</v>
      </c>
      <c r="T23" s="5">
        <v>22.5</v>
      </c>
      <c r="U23" s="5">
        <v>20</v>
      </c>
      <c r="V23" s="5">
        <v>20</v>
      </c>
      <c r="W23" s="5">
        <v>20</v>
      </c>
      <c r="X23" s="5">
        <v>20</v>
      </c>
      <c r="Y23" s="5">
        <v>10</v>
      </c>
      <c r="Z23" s="5">
        <v>10</v>
      </c>
      <c r="AA23" t="s">
        <v>219</v>
      </c>
      <c r="AB23" s="3" t="s">
        <v>216</v>
      </c>
      <c r="AC23" s="7">
        <f>90+200+20+200+81+75+322+200+100+75+200+290+105.6+322+200+175</f>
        <v>2655.6</v>
      </c>
      <c r="AD23" s="8">
        <f>3.5+1+1.5+9+5+1+9+29+5+12+13+4.62+29+9+11.4</f>
        <v>143.02000000000001</v>
      </c>
      <c r="AE23" s="8">
        <f>1+1+9+4.5+4+9+4.5+6+12+1.32+4+9+0+10.5</f>
        <v>75.819999999999993</v>
      </c>
      <c r="AF23" s="8">
        <f>3+4+2+12+0.75+2+12+4+0.75+7+2+1.32+4+12+2+1.75</f>
        <v>70.569999999999993</v>
      </c>
      <c r="AG23" s="8">
        <f>12+44+1+21+8.25+21+1+17+8.25+39+22+13.86+17+1+24+19.25</f>
        <v>269.61</v>
      </c>
      <c r="AH23" s="8">
        <f>3+1+4+0.75+2+18+0.75+3+2+1.32+18+2+1.75</f>
        <v>57.57</v>
      </c>
      <c r="AI23" s="8">
        <f>460+100+340+2+7.5+20+340+14+7.5+1150+20+14+340+17.5</f>
        <v>2832.5</v>
      </c>
      <c r="AJ23" s="9">
        <v>3</v>
      </c>
      <c r="AK23" s="9">
        <v>2</v>
      </c>
      <c r="AL23" s="9">
        <v>1</v>
      </c>
      <c r="AR23">
        <v>31</v>
      </c>
      <c r="AS23">
        <v>1</v>
      </c>
      <c r="AT23">
        <v>7</v>
      </c>
      <c r="AU23">
        <v>0</v>
      </c>
      <c r="AV23">
        <v>1</v>
      </c>
      <c r="AW23">
        <v>1</v>
      </c>
      <c r="AX23">
        <v>1</v>
      </c>
      <c r="AY23">
        <v>1</v>
      </c>
    </row>
    <row r="24" spans="1:51" ht="24.95" customHeight="1" x14ac:dyDescent="0.25">
      <c r="A24" t="s">
        <v>70</v>
      </c>
      <c r="D24" s="2"/>
      <c r="E24" s="2"/>
      <c r="F24" s="2"/>
    </row>
    <row r="25" spans="1:51" x14ac:dyDescent="0.25">
      <c r="AC25"/>
      <c r="AD25"/>
      <c r="AE25"/>
      <c r="AF25"/>
      <c r="AG25"/>
      <c r="AH25"/>
      <c r="AI25"/>
    </row>
    <row r="26" spans="1:51" x14ac:dyDescent="0.25">
      <c r="AC26"/>
      <c r="AD26"/>
      <c r="AE26"/>
      <c r="AF26"/>
      <c r="AG26"/>
      <c r="AH26"/>
      <c r="AI26"/>
    </row>
    <row r="27" spans="1:51" x14ac:dyDescent="0.25">
      <c r="AC27"/>
      <c r="AD27"/>
      <c r="AE27"/>
      <c r="AF27"/>
      <c r="AG27"/>
      <c r="AH27"/>
      <c r="AI27"/>
    </row>
    <row r="28" spans="1:51" x14ac:dyDescent="0.25">
      <c r="AC28"/>
      <c r="AD28"/>
      <c r="AE28"/>
      <c r="AF28"/>
      <c r="AG28"/>
      <c r="AH28"/>
      <c r="AI28"/>
    </row>
    <row r="29" spans="1:51" x14ac:dyDescent="0.25">
      <c r="AC29"/>
      <c r="AD29"/>
      <c r="AE29"/>
      <c r="AF29"/>
      <c r="AG29"/>
      <c r="AH29"/>
      <c r="AI29"/>
    </row>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56"/>
  <sheetViews>
    <sheetView tabSelected="1" workbookViewId="0">
      <pane ySplit="1" topLeftCell="A50" activePane="bottomLeft" state="frozen"/>
      <selection pane="bottomLeft" activeCell="I58" sqref="I58"/>
    </sheetView>
  </sheetViews>
  <sheetFormatPr defaultRowHeight="15" x14ac:dyDescent="0.25"/>
  <cols>
    <col min="1" max="1" width="43.85546875" customWidth="1"/>
    <col min="4" max="4" width="19.140625" customWidth="1"/>
    <col min="5" max="6" width="16.140625" customWidth="1"/>
    <col min="7" max="7" width="17.28515625" customWidth="1"/>
  </cols>
  <sheetData>
    <row r="1" spans="1:8" x14ac:dyDescent="0.25">
      <c r="A1" t="s">
        <v>96</v>
      </c>
      <c r="B1" s="7" t="s">
        <v>95</v>
      </c>
      <c r="C1" s="8" t="s">
        <v>83</v>
      </c>
      <c r="D1" s="8" t="s">
        <v>84</v>
      </c>
      <c r="E1" s="8" t="s">
        <v>85</v>
      </c>
      <c r="F1" s="8" t="s">
        <v>178</v>
      </c>
      <c r="G1" s="8" t="s">
        <v>87</v>
      </c>
      <c r="H1" s="8" t="s">
        <v>94</v>
      </c>
    </row>
    <row r="2" spans="1:8" x14ac:dyDescent="0.25">
      <c r="A2" t="s">
        <v>97</v>
      </c>
      <c r="B2">
        <v>180</v>
      </c>
      <c r="C2">
        <v>2</v>
      </c>
      <c r="D2">
        <v>0</v>
      </c>
      <c r="E2">
        <v>6</v>
      </c>
      <c r="F2">
        <v>32</v>
      </c>
      <c r="G2">
        <v>2</v>
      </c>
      <c r="H2">
        <v>380</v>
      </c>
    </row>
    <row r="3" spans="1:8" x14ac:dyDescent="0.25">
      <c r="A3" t="s">
        <v>98</v>
      </c>
      <c r="B3">
        <v>140</v>
      </c>
      <c r="C3">
        <v>10</v>
      </c>
      <c r="D3">
        <v>3</v>
      </c>
      <c r="E3">
        <v>12</v>
      </c>
      <c r="F3">
        <v>0</v>
      </c>
      <c r="H3">
        <v>140</v>
      </c>
    </row>
    <row r="4" spans="1:8" x14ac:dyDescent="0.25">
      <c r="A4" t="s">
        <v>99</v>
      </c>
      <c r="B4">
        <v>92</v>
      </c>
      <c r="C4">
        <v>0</v>
      </c>
      <c r="D4">
        <v>0</v>
      </c>
      <c r="E4">
        <v>2</v>
      </c>
      <c r="F4">
        <v>24</v>
      </c>
      <c r="G4">
        <v>2</v>
      </c>
      <c r="H4">
        <v>0</v>
      </c>
    </row>
    <row r="5" spans="1:8" x14ac:dyDescent="0.25">
      <c r="A5" t="s">
        <v>101</v>
      </c>
      <c r="B5">
        <v>120</v>
      </c>
      <c r="C5">
        <v>3</v>
      </c>
      <c r="D5">
        <v>2</v>
      </c>
      <c r="E5">
        <v>6</v>
      </c>
      <c r="F5">
        <v>19</v>
      </c>
      <c r="G5">
        <v>2</v>
      </c>
      <c r="H5">
        <v>330</v>
      </c>
    </row>
    <row r="6" spans="1:8" x14ac:dyDescent="0.25">
      <c r="A6" t="s">
        <v>100</v>
      </c>
      <c r="B6">
        <v>60</v>
      </c>
      <c r="C6">
        <v>5</v>
      </c>
      <c r="D6">
        <v>3.5</v>
      </c>
      <c r="E6">
        <v>1</v>
      </c>
      <c r="F6">
        <v>2</v>
      </c>
      <c r="G6">
        <v>0</v>
      </c>
      <c r="H6">
        <v>15</v>
      </c>
    </row>
    <row r="7" spans="1:8" x14ac:dyDescent="0.25">
      <c r="A7" t="s">
        <v>102</v>
      </c>
      <c r="B7">
        <v>81</v>
      </c>
      <c r="C7">
        <v>0</v>
      </c>
      <c r="D7">
        <v>0</v>
      </c>
      <c r="E7">
        <v>2</v>
      </c>
      <c r="F7">
        <v>21</v>
      </c>
      <c r="G7">
        <v>4</v>
      </c>
      <c r="H7">
        <v>2</v>
      </c>
    </row>
    <row r="8" spans="1:8" x14ac:dyDescent="0.25">
      <c r="A8" t="s">
        <v>103</v>
      </c>
      <c r="B8">
        <v>15</v>
      </c>
      <c r="C8">
        <v>0</v>
      </c>
      <c r="D8">
        <v>0</v>
      </c>
      <c r="E8">
        <v>1</v>
      </c>
      <c r="F8">
        <v>3</v>
      </c>
      <c r="G8">
        <v>1</v>
      </c>
      <c r="H8">
        <v>290</v>
      </c>
    </row>
    <row r="9" spans="1:8" x14ac:dyDescent="0.25">
      <c r="A9" t="s">
        <v>104</v>
      </c>
      <c r="B9">
        <v>280</v>
      </c>
      <c r="C9">
        <v>7</v>
      </c>
      <c r="D9">
        <v>1</v>
      </c>
      <c r="E9">
        <v>8</v>
      </c>
      <c r="F9">
        <v>42</v>
      </c>
      <c r="G9">
        <v>8</v>
      </c>
      <c r="H9">
        <v>360</v>
      </c>
    </row>
    <row r="10" spans="1:8" x14ac:dyDescent="0.25">
      <c r="A10" t="s">
        <v>119</v>
      </c>
      <c r="B10">
        <v>210</v>
      </c>
      <c r="C10">
        <v>5.25</v>
      </c>
      <c r="D10">
        <v>0.75</v>
      </c>
      <c r="E10">
        <v>6</v>
      </c>
      <c r="F10">
        <v>31.5</v>
      </c>
      <c r="G10">
        <v>6</v>
      </c>
      <c r="H10">
        <v>270</v>
      </c>
    </row>
    <row r="11" spans="1:8" x14ac:dyDescent="0.25">
      <c r="A11" t="s">
        <v>120</v>
      </c>
      <c r="B11">
        <v>140</v>
      </c>
      <c r="C11">
        <v>3.5</v>
      </c>
      <c r="D11">
        <v>0.5</v>
      </c>
      <c r="E11">
        <v>4</v>
      </c>
      <c r="F11">
        <v>21</v>
      </c>
      <c r="G11">
        <v>4</v>
      </c>
      <c r="H11">
        <v>180</v>
      </c>
    </row>
    <row r="12" spans="1:8" x14ac:dyDescent="0.25">
      <c r="A12" t="s">
        <v>105</v>
      </c>
      <c r="B12">
        <v>161</v>
      </c>
      <c r="C12">
        <v>14.5</v>
      </c>
      <c r="D12">
        <v>2</v>
      </c>
      <c r="E12">
        <v>2</v>
      </c>
      <c r="F12">
        <v>8.5</v>
      </c>
      <c r="G12">
        <v>6.5</v>
      </c>
      <c r="H12">
        <v>7</v>
      </c>
    </row>
    <row r="13" spans="1:8" x14ac:dyDescent="0.25">
      <c r="A13" t="s">
        <v>115</v>
      </c>
      <c r="B13">
        <v>322</v>
      </c>
      <c r="C13">
        <v>29</v>
      </c>
      <c r="D13">
        <v>4</v>
      </c>
      <c r="E13">
        <v>4</v>
      </c>
      <c r="F13">
        <v>17</v>
      </c>
      <c r="G13">
        <v>18</v>
      </c>
      <c r="H13">
        <v>14</v>
      </c>
    </row>
    <row r="14" spans="1:8" x14ac:dyDescent="0.25">
      <c r="A14" t="s">
        <v>106</v>
      </c>
      <c r="B14">
        <v>150</v>
      </c>
      <c r="C14">
        <v>0</v>
      </c>
      <c r="D14">
        <v>0</v>
      </c>
      <c r="E14">
        <v>3</v>
      </c>
      <c r="F14">
        <v>14</v>
      </c>
      <c r="G14">
        <v>3</v>
      </c>
      <c r="H14">
        <v>30</v>
      </c>
    </row>
    <row r="15" spans="1:8" x14ac:dyDescent="0.25">
      <c r="A15" t="s">
        <v>108</v>
      </c>
      <c r="B15">
        <v>100</v>
      </c>
      <c r="C15">
        <v>0</v>
      </c>
      <c r="D15">
        <v>0</v>
      </c>
      <c r="E15">
        <v>2</v>
      </c>
      <c r="F15">
        <v>9</v>
      </c>
      <c r="G15">
        <v>2</v>
      </c>
      <c r="H15">
        <v>20</v>
      </c>
    </row>
    <row r="16" spans="1:8" x14ac:dyDescent="0.25">
      <c r="A16" t="s">
        <v>107</v>
      </c>
      <c r="B16">
        <v>130</v>
      </c>
      <c r="C16">
        <v>3</v>
      </c>
      <c r="D16">
        <v>2</v>
      </c>
      <c r="E16">
        <v>0</v>
      </c>
      <c r="F16">
        <v>19</v>
      </c>
      <c r="G16">
        <v>3</v>
      </c>
      <c r="H16">
        <v>670</v>
      </c>
    </row>
    <row r="17" spans="1:8" x14ac:dyDescent="0.25">
      <c r="A17" t="s">
        <v>109</v>
      </c>
      <c r="B17">
        <v>80</v>
      </c>
      <c r="C17">
        <v>5</v>
      </c>
      <c r="D17">
        <v>3.5</v>
      </c>
      <c r="E17">
        <v>6</v>
      </c>
      <c r="F17">
        <v>1</v>
      </c>
      <c r="G17">
        <v>0</v>
      </c>
      <c r="H17">
        <v>190</v>
      </c>
    </row>
    <row r="18" spans="1:8" x14ac:dyDescent="0.25">
      <c r="A18" t="s">
        <v>111</v>
      </c>
      <c r="B18">
        <v>290</v>
      </c>
      <c r="C18">
        <v>12</v>
      </c>
      <c r="D18">
        <v>6</v>
      </c>
      <c r="E18">
        <v>7</v>
      </c>
      <c r="F18">
        <v>39</v>
      </c>
      <c r="G18">
        <v>3</v>
      </c>
      <c r="H18">
        <v>1150</v>
      </c>
    </row>
    <row r="19" spans="1:8" x14ac:dyDescent="0.25">
      <c r="A19" t="s">
        <v>112</v>
      </c>
      <c r="B19">
        <v>60</v>
      </c>
      <c r="C19">
        <v>0.5</v>
      </c>
      <c r="D19">
        <v>0</v>
      </c>
      <c r="E19">
        <v>2</v>
      </c>
      <c r="F19">
        <v>11</v>
      </c>
      <c r="G19">
        <v>7</v>
      </c>
      <c r="H19">
        <v>0</v>
      </c>
    </row>
    <row r="20" spans="1:8" x14ac:dyDescent="0.25">
      <c r="A20" t="s">
        <v>113</v>
      </c>
      <c r="B20">
        <v>42</v>
      </c>
      <c r="C20">
        <v>0</v>
      </c>
      <c r="D20">
        <v>0</v>
      </c>
      <c r="E20">
        <v>1</v>
      </c>
      <c r="F20">
        <v>13</v>
      </c>
      <c r="G20">
        <v>2</v>
      </c>
      <c r="H20">
        <v>1</v>
      </c>
    </row>
    <row r="21" spans="1:8" x14ac:dyDescent="0.25">
      <c r="A21" t="s">
        <v>114</v>
      </c>
      <c r="B21">
        <v>120</v>
      </c>
      <c r="C21">
        <v>3</v>
      </c>
      <c r="D21">
        <v>2</v>
      </c>
      <c r="E21">
        <v>6</v>
      </c>
      <c r="F21">
        <v>19</v>
      </c>
      <c r="G21">
        <v>2</v>
      </c>
      <c r="H21">
        <v>330</v>
      </c>
    </row>
    <row r="22" spans="1:8" x14ac:dyDescent="0.25">
      <c r="A22" t="s">
        <v>116</v>
      </c>
      <c r="B22">
        <v>8.5</v>
      </c>
      <c r="C22">
        <v>0</v>
      </c>
      <c r="D22">
        <v>0</v>
      </c>
      <c r="E22">
        <v>0</v>
      </c>
      <c r="F22">
        <v>36</v>
      </c>
      <c r="G22">
        <v>0</v>
      </c>
      <c r="H22">
        <v>1</v>
      </c>
    </row>
    <row r="23" spans="1:8" x14ac:dyDescent="0.25">
      <c r="A23" t="s">
        <v>117</v>
      </c>
      <c r="B23">
        <v>25</v>
      </c>
      <c r="C23">
        <v>0</v>
      </c>
      <c r="D23">
        <v>0</v>
      </c>
      <c r="E23">
        <v>0</v>
      </c>
      <c r="F23">
        <v>6</v>
      </c>
      <c r="G23">
        <v>1</v>
      </c>
      <c r="H23">
        <v>0</v>
      </c>
    </row>
    <row r="24" spans="1:8" x14ac:dyDescent="0.25">
      <c r="A24" t="s">
        <v>118</v>
      </c>
      <c r="B24">
        <v>8</v>
      </c>
      <c r="C24">
        <v>0.6</v>
      </c>
      <c r="D24">
        <v>0</v>
      </c>
      <c r="E24">
        <v>0.25</v>
      </c>
      <c r="F24">
        <v>0.25</v>
      </c>
      <c r="G24">
        <v>0.25</v>
      </c>
      <c r="H24">
        <v>40</v>
      </c>
    </row>
    <row r="25" spans="1:8" x14ac:dyDescent="0.25">
      <c r="A25" t="s">
        <v>121</v>
      </c>
      <c r="B25">
        <v>57</v>
      </c>
      <c r="C25">
        <v>0</v>
      </c>
      <c r="D25">
        <v>0</v>
      </c>
      <c r="E25">
        <v>0</v>
      </c>
      <c r="F25">
        <v>15</v>
      </c>
      <c r="G25">
        <v>3</v>
      </c>
      <c r="H25">
        <v>1</v>
      </c>
    </row>
    <row r="26" spans="1:8" x14ac:dyDescent="0.25">
      <c r="A26" t="s">
        <v>122</v>
      </c>
      <c r="B26">
        <v>30</v>
      </c>
      <c r="C26">
        <v>0</v>
      </c>
      <c r="D26">
        <v>0</v>
      </c>
      <c r="E26">
        <v>0</v>
      </c>
      <c r="F26">
        <v>8</v>
      </c>
      <c r="G26">
        <v>1</v>
      </c>
      <c r="H26">
        <v>150</v>
      </c>
    </row>
    <row r="27" spans="1:8" x14ac:dyDescent="0.25">
      <c r="A27" t="s">
        <v>123</v>
      </c>
      <c r="B27">
        <v>70</v>
      </c>
      <c r="C27">
        <v>5</v>
      </c>
      <c r="D27">
        <v>3</v>
      </c>
      <c r="E27">
        <v>4</v>
      </c>
      <c r="F27">
        <v>1</v>
      </c>
      <c r="G27">
        <v>0</v>
      </c>
      <c r="H27">
        <v>250</v>
      </c>
    </row>
    <row r="28" spans="1:8" x14ac:dyDescent="0.25">
      <c r="A28" t="s">
        <v>124</v>
      </c>
      <c r="B28">
        <v>270</v>
      </c>
      <c r="C28">
        <v>7</v>
      </c>
      <c r="D28">
        <v>1</v>
      </c>
      <c r="E28">
        <v>6</v>
      </c>
      <c r="F28">
        <v>46</v>
      </c>
      <c r="G28">
        <v>3</v>
      </c>
      <c r="H28">
        <v>55</v>
      </c>
    </row>
    <row r="29" spans="1:8" x14ac:dyDescent="0.25">
      <c r="A29" t="s">
        <v>125</v>
      </c>
      <c r="B29">
        <v>25</v>
      </c>
      <c r="C29">
        <v>0</v>
      </c>
      <c r="D29">
        <v>0</v>
      </c>
      <c r="E29">
        <v>0</v>
      </c>
      <c r="F29">
        <v>6</v>
      </c>
      <c r="G29">
        <v>1</v>
      </c>
      <c r="H29">
        <v>0</v>
      </c>
    </row>
    <row r="30" spans="1:8" x14ac:dyDescent="0.25">
      <c r="A30" t="s">
        <v>126</v>
      </c>
      <c r="B30">
        <v>150</v>
      </c>
      <c r="C30">
        <v>8</v>
      </c>
      <c r="D30">
        <v>1</v>
      </c>
      <c r="E30">
        <v>2</v>
      </c>
      <c r="F30">
        <v>17</v>
      </c>
      <c r="G30">
        <v>1</v>
      </c>
      <c r="H30">
        <v>170</v>
      </c>
    </row>
    <row r="31" spans="1:8" x14ac:dyDescent="0.25">
      <c r="A31" t="s">
        <v>127</v>
      </c>
      <c r="B31">
        <f>SUM(B32:B35)</f>
        <v>528</v>
      </c>
      <c r="C31">
        <f>SUM(C32:C35)</f>
        <v>19.34</v>
      </c>
      <c r="D31">
        <f t="shared" ref="D31:G31" si="0">SUM(D32:D35)</f>
        <v>5.04</v>
      </c>
      <c r="E31">
        <f t="shared" si="0"/>
        <v>28</v>
      </c>
      <c r="F31">
        <f>SUM(F32:F35)</f>
        <v>62</v>
      </c>
      <c r="G31">
        <f t="shared" si="0"/>
        <v>7</v>
      </c>
      <c r="H31">
        <f>SUM(H32:H35)</f>
        <v>385.03</v>
      </c>
    </row>
    <row r="32" spans="1:8" x14ac:dyDescent="0.25">
      <c r="A32" t="s">
        <v>128</v>
      </c>
      <c r="B32">
        <v>200</v>
      </c>
      <c r="C32">
        <v>1</v>
      </c>
      <c r="D32">
        <v>0</v>
      </c>
      <c r="E32">
        <v>4</v>
      </c>
      <c r="F32">
        <v>44</v>
      </c>
      <c r="G32">
        <v>1</v>
      </c>
      <c r="H32">
        <v>0</v>
      </c>
    </row>
    <row r="33" spans="1:8" x14ac:dyDescent="0.25">
      <c r="A33" t="s">
        <v>220</v>
      </c>
      <c r="B33">
        <v>260</v>
      </c>
      <c r="C33">
        <v>18</v>
      </c>
      <c r="D33">
        <v>5</v>
      </c>
      <c r="E33">
        <v>20</v>
      </c>
      <c r="F33">
        <v>5</v>
      </c>
      <c r="G33">
        <v>2</v>
      </c>
      <c r="H33">
        <v>350</v>
      </c>
    </row>
    <row r="34" spans="1:8" x14ac:dyDescent="0.25">
      <c r="A34" t="s">
        <v>129</v>
      </c>
      <c r="B34">
        <v>31</v>
      </c>
      <c r="C34">
        <v>0.34</v>
      </c>
      <c r="D34">
        <v>0.04</v>
      </c>
      <c r="E34">
        <v>3</v>
      </c>
      <c r="F34">
        <v>6</v>
      </c>
      <c r="G34">
        <v>2</v>
      </c>
      <c r="H34">
        <v>30.03</v>
      </c>
    </row>
    <row r="35" spans="1:8" x14ac:dyDescent="0.25">
      <c r="A35" t="s">
        <v>130</v>
      </c>
      <c r="B35">
        <v>37</v>
      </c>
      <c r="C35">
        <v>0</v>
      </c>
      <c r="D35">
        <v>0</v>
      </c>
      <c r="E35">
        <v>1</v>
      </c>
      <c r="F35">
        <v>7</v>
      </c>
      <c r="G35">
        <v>2</v>
      </c>
      <c r="H35">
        <v>5</v>
      </c>
    </row>
    <row r="36" spans="1:8" x14ac:dyDescent="0.25">
      <c r="A36" t="s">
        <v>131</v>
      </c>
      <c r="B36">
        <v>105</v>
      </c>
      <c r="C36">
        <v>0</v>
      </c>
      <c r="D36">
        <v>0</v>
      </c>
      <c r="E36">
        <v>1</v>
      </c>
      <c r="F36">
        <v>27</v>
      </c>
      <c r="G36">
        <v>3</v>
      </c>
      <c r="H36">
        <v>1</v>
      </c>
    </row>
    <row r="37" spans="1:8" x14ac:dyDescent="0.25">
      <c r="A37" t="s">
        <v>132</v>
      </c>
      <c r="B37">
        <f>SUM(B38:B40)+SUM(B34:B35)</f>
        <v>528</v>
      </c>
      <c r="C37">
        <f t="shared" ref="C37:H37" si="1">SUM(C38:C40)+SUM(C34:C35)</f>
        <v>17.84</v>
      </c>
      <c r="D37">
        <f t="shared" si="1"/>
        <v>7.04</v>
      </c>
      <c r="E37">
        <f>SUM(E38:E40)+SUM(E34:E35)</f>
        <v>47</v>
      </c>
      <c r="F37">
        <f>SUM(F38:F40)+SUM(F34:F35)</f>
        <v>57</v>
      </c>
      <c r="G37">
        <f t="shared" si="1"/>
        <v>22</v>
      </c>
      <c r="H37">
        <f t="shared" si="1"/>
        <v>1025.03</v>
      </c>
    </row>
    <row r="38" spans="1:8" x14ac:dyDescent="0.25">
      <c r="A38" t="s">
        <v>133</v>
      </c>
      <c r="B38">
        <v>180</v>
      </c>
      <c r="C38">
        <v>3.5</v>
      </c>
      <c r="D38">
        <v>0</v>
      </c>
      <c r="E38">
        <v>24</v>
      </c>
      <c r="F38">
        <v>20</v>
      </c>
      <c r="G38">
        <v>13</v>
      </c>
      <c r="H38">
        <v>0</v>
      </c>
    </row>
    <row r="39" spans="1:8" x14ac:dyDescent="0.25">
      <c r="A39" t="s">
        <v>134</v>
      </c>
      <c r="B39">
        <v>220</v>
      </c>
      <c r="C39">
        <v>13</v>
      </c>
      <c r="D39">
        <v>7</v>
      </c>
      <c r="E39">
        <v>17</v>
      </c>
      <c r="F39">
        <v>12</v>
      </c>
      <c r="G39">
        <v>3</v>
      </c>
      <c r="H39">
        <v>570</v>
      </c>
    </row>
    <row r="40" spans="1:8" x14ac:dyDescent="0.25">
      <c r="A40" t="s">
        <v>135</v>
      </c>
      <c r="B40">
        <v>60</v>
      </c>
      <c r="C40">
        <v>1</v>
      </c>
      <c r="D40">
        <v>0</v>
      </c>
      <c r="E40">
        <v>2</v>
      </c>
      <c r="F40">
        <v>12</v>
      </c>
      <c r="G40">
        <v>2</v>
      </c>
      <c r="H40">
        <v>420</v>
      </c>
    </row>
    <row r="41" spans="1:8" x14ac:dyDescent="0.25">
      <c r="A41" t="s">
        <v>137</v>
      </c>
      <c r="B41">
        <v>104</v>
      </c>
      <c r="C41">
        <v>0</v>
      </c>
      <c r="D41">
        <v>0</v>
      </c>
      <c r="E41">
        <v>1</v>
      </c>
      <c r="F41">
        <v>27</v>
      </c>
      <c r="G41">
        <v>1</v>
      </c>
      <c r="H41">
        <v>3</v>
      </c>
    </row>
    <row r="42" spans="1:8" x14ac:dyDescent="0.25">
      <c r="A42" t="s">
        <v>141</v>
      </c>
      <c r="B42">
        <v>90</v>
      </c>
      <c r="C42">
        <v>3.5</v>
      </c>
      <c r="D42">
        <v>1</v>
      </c>
      <c r="E42">
        <v>3</v>
      </c>
      <c r="F42">
        <v>12</v>
      </c>
      <c r="G42">
        <v>3</v>
      </c>
      <c r="H42">
        <v>460</v>
      </c>
    </row>
    <row r="43" spans="1:8" x14ac:dyDescent="0.25">
      <c r="A43" t="s">
        <v>142</v>
      </c>
      <c r="B43">
        <v>20</v>
      </c>
      <c r="C43">
        <v>1.5</v>
      </c>
      <c r="D43">
        <v>1</v>
      </c>
      <c r="E43">
        <v>2</v>
      </c>
      <c r="F43">
        <v>0</v>
      </c>
      <c r="G43">
        <v>0</v>
      </c>
      <c r="H43">
        <v>100</v>
      </c>
    </row>
    <row r="44" spans="1:8" x14ac:dyDescent="0.25">
      <c r="A44" t="s">
        <v>143</v>
      </c>
      <c r="B44">
        <v>120</v>
      </c>
      <c r="C44">
        <v>14</v>
      </c>
      <c r="D44">
        <v>2</v>
      </c>
      <c r="E44">
        <v>0</v>
      </c>
      <c r="F44">
        <v>0</v>
      </c>
      <c r="G44">
        <v>0</v>
      </c>
      <c r="H44">
        <v>0</v>
      </c>
    </row>
    <row r="45" spans="1:8" x14ac:dyDescent="0.25">
      <c r="A45" t="s">
        <v>144</v>
      </c>
      <c r="B45">
        <v>190</v>
      </c>
      <c r="C45">
        <v>0</v>
      </c>
      <c r="D45">
        <v>0</v>
      </c>
      <c r="E45">
        <v>6</v>
      </c>
      <c r="F45">
        <v>41</v>
      </c>
      <c r="G45">
        <v>7</v>
      </c>
      <c r="H45">
        <v>1450</v>
      </c>
    </row>
    <row r="46" spans="1:8" x14ac:dyDescent="0.25">
      <c r="A46" t="s">
        <v>145</v>
      </c>
      <c r="B46">
        <v>107</v>
      </c>
      <c r="C46">
        <v>0</v>
      </c>
      <c r="D46">
        <v>0</v>
      </c>
      <c r="E46">
        <v>1</v>
      </c>
      <c r="F46">
        <v>28</v>
      </c>
      <c r="G46">
        <v>3</v>
      </c>
      <c r="H46">
        <v>3</v>
      </c>
    </row>
    <row r="47" spans="1:8" x14ac:dyDescent="0.25">
      <c r="A47" t="s">
        <v>146</v>
      </c>
      <c r="B47">
        <v>140</v>
      </c>
      <c r="C47">
        <v>7</v>
      </c>
      <c r="D47">
        <v>5</v>
      </c>
      <c r="E47">
        <v>2</v>
      </c>
      <c r="F47">
        <v>18</v>
      </c>
      <c r="G47">
        <v>2</v>
      </c>
      <c r="H47">
        <v>90</v>
      </c>
    </row>
    <row r="48" spans="1:8" x14ac:dyDescent="0.25">
      <c r="A48" t="s">
        <v>147</v>
      </c>
      <c r="B48">
        <v>200</v>
      </c>
      <c r="C48">
        <v>9</v>
      </c>
      <c r="D48">
        <v>9</v>
      </c>
      <c r="E48">
        <v>12</v>
      </c>
      <c r="F48">
        <v>1</v>
      </c>
      <c r="G48">
        <v>0</v>
      </c>
      <c r="H48">
        <v>340</v>
      </c>
    </row>
    <row r="49" spans="1:8" x14ac:dyDescent="0.25">
      <c r="A49" t="s">
        <v>148</v>
      </c>
      <c r="B49">
        <v>340</v>
      </c>
      <c r="C49">
        <v>5</v>
      </c>
      <c r="D49">
        <v>0</v>
      </c>
      <c r="E49">
        <v>17</v>
      </c>
      <c r="F49">
        <v>57</v>
      </c>
      <c r="G49">
        <v>16</v>
      </c>
      <c r="H49">
        <v>1670</v>
      </c>
    </row>
    <row r="50" spans="1:8" x14ac:dyDescent="0.25">
      <c r="A50" t="s">
        <v>149</v>
      </c>
      <c r="B50">
        <v>150</v>
      </c>
      <c r="C50">
        <v>1</v>
      </c>
      <c r="D50">
        <v>0</v>
      </c>
      <c r="E50">
        <v>3</v>
      </c>
      <c r="F50">
        <v>33</v>
      </c>
      <c r="G50">
        <v>2</v>
      </c>
      <c r="H50">
        <v>280</v>
      </c>
    </row>
    <row r="51" spans="1:8" x14ac:dyDescent="0.25">
      <c r="A51" t="s">
        <v>182</v>
      </c>
      <c r="B51">
        <v>100</v>
      </c>
      <c r="C51">
        <v>1</v>
      </c>
      <c r="D51">
        <v>0</v>
      </c>
      <c r="E51">
        <v>2</v>
      </c>
      <c r="F51">
        <v>21</v>
      </c>
      <c r="G51">
        <v>2</v>
      </c>
      <c r="H51">
        <v>20</v>
      </c>
    </row>
    <row r="52" spans="1:8" x14ac:dyDescent="0.25">
      <c r="A52" t="s">
        <v>215</v>
      </c>
      <c r="B52">
        <v>200</v>
      </c>
      <c r="C52">
        <v>13</v>
      </c>
      <c r="D52">
        <v>12</v>
      </c>
      <c r="E52">
        <v>2</v>
      </c>
      <c r="F52">
        <v>22</v>
      </c>
      <c r="G52">
        <v>2</v>
      </c>
      <c r="H52">
        <v>20</v>
      </c>
    </row>
    <row r="53" spans="1:8" x14ac:dyDescent="0.25">
      <c r="A53" t="s">
        <v>217</v>
      </c>
      <c r="B53">
        <v>160</v>
      </c>
      <c r="C53">
        <v>7</v>
      </c>
      <c r="D53">
        <v>2</v>
      </c>
      <c r="E53">
        <v>2</v>
      </c>
      <c r="F53">
        <v>21</v>
      </c>
      <c r="G53">
        <v>2</v>
      </c>
      <c r="H53">
        <v>0</v>
      </c>
    </row>
    <row r="54" spans="1:8" x14ac:dyDescent="0.25">
      <c r="A54" t="s">
        <v>218</v>
      </c>
      <c r="B54">
        <f>0.66*160</f>
        <v>105.60000000000001</v>
      </c>
      <c r="C54">
        <f>0.66*7</f>
        <v>4.62</v>
      </c>
      <c r="D54">
        <f>0.66*2</f>
        <v>1.32</v>
      </c>
      <c r="E54">
        <f>0.66*2</f>
        <v>1.32</v>
      </c>
      <c r="F54">
        <f>0.66*21</f>
        <v>13.860000000000001</v>
      </c>
      <c r="G54">
        <f>0.66*2</f>
        <v>1.32</v>
      </c>
      <c r="H54">
        <v>0</v>
      </c>
    </row>
    <row r="55" spans="1:8" x14ac:dyDescent="0.25">
      <c r="A55" t="s">
        <v>221</v>
      </c>
      <c r="B55">
        <v>330</v>
      </c>
      <c r="C55">
        <v>2.5</v>
      </c>
      <c r="D55">
        <v>0.5</v>
      </c>
      <c r="E55">
        <v>23</v>
      </c>
      <c r="F55">
        <v>61</v>
      </c>
      <c r="G55">
        <v>11</v>
      </c>
      <c r="H55">
        <v>0</v>
      </c>
    </row>
    <row r="56" spans="1:8" x14ac:dyDescent="0.25">
      <c r="A56" t="s">
        <v>222</v>
      </c>
      <c r="B56">
        <v>90</v>
      </c>
      <c r="C56">
        <v>2</v>
      </c>
      <c r="D56">
        <v>2</v>
      </c>
      <c r="E56">
        <v>3</v>
      </c>
      <c r="F56">
        <v>18</v>
      </c>
      <c r="G56">
        <v>4</v>
      </c>
      <c r="H56">
        <v>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researchMeasures</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2021-01-26T15:49:07Z</dcterms:modified>
</cp:coreProperties>
</file>