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4A560E5F-B3A6-4ACF-923F-4D0AA9AFF2A3}"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NutritionalData"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17" i="1" l="1"/>
  <c r="AF17" i="1"/>
  <c r="AE17" i="1"/>
  <c r="AD17" i="1"/>
  <c r="AC17" i="1"/>
  <c r="AB17" i="1"/>
  <c r="AA17" i="1"/>
  <c r="AG16" i="1"/>
  <c r="AF16" i="1"/>
  <c r="AE16" i="1"/>
  <c r="AD16" i="1"/>
  <c r="AC16" i="1"/>
  <c r="AB16" i="1"/>
  <c r="AA16" i="1"/>
  <c r="AG15" i="1"/>
  <c r="AF15" i="1"/>
  <c r="AE15" i="1"/>
  <c r="AD15" i="1"/>
  <c r="AC6" i="1"/>
  <c r="AC15" i="1"/>
  <c r="AB15" i="1"/>
  <c r="AA15" i="1"/>
  <c r="AN16" i="1"/>
  <c r="AN15" i="1"/>
  <c r="AG14" i="1"/>
  <c r="AF14" i="1"/>
  <c r="AE14" i="1"/>
  <c r="AD14" i="1"/>
  <c r="AC14" i="1"/>
  <c r="AB14" i="1"/>
  <c r="AA14" i="1"/>
  <c r="AG13" i="1"/>
  <c r="AF13" i="1"/>
  <c r="AE13" i="1"/>
  <c r="AD13" i="1"/>
  <c r="AC13" i="1"/>
  <c r="AB13" i="1"/>
  <c r="AA13" i="1"/>
  <c r="AG12" i="1"/>
  <c r="AF12" i="1"/>
  <c r="AE12" i="1"/>
  <c r="AD12" i="1"/>
  <c r="AC12" i="1"/>
  <c r="AB12" i="1"/>
  <c r="AA12" i="1"/>
  <c r="H68" i="4"/>
  <c r="F68" i="4"/>
  <c r="B68" i="4"/>
  <c r="AG11" i="1"/>
  <c r="AF11" i="1"/>
  <c r="AE11" i="1"/>
  <c r="AD11" i="1"/>
  <c r="AC11" i="1"/>
  <c r="AB11" i="1"/>
  <c r="AA11" i="1"/>
  <c r="AG10" i="1"/>
  <c r="AF10" i="1"/>
  <c r="AE10" i="1"/>
  <c r="AD10" i="1"/>
  <c r="AC10" i="1"/>
  <c r="AB10" i="1"/>
  <c r="AA10" i="1"/>
  <c r="AG9" i="1"/>
  <c r="AF9" i="1"/>
  <c r="AE9" i="1"/>
  <c r="AD9" i="1"/>
  <c r="AC9" i="1"/>
  <c r="AB9" i="1"/>
  <c r="AA9" i="1"/>
  <c r="AG8" i="1"/>
  <c r="AF8" i="1"/>
  <c r="AE8" i="1"/>
  <c r="AD8" i="1"/>
  <c r="AC8" i="1"/>
  <c r="AB8" i="1"/>
  <c r="AA8" i="1"/>
  <c r="AG7" i="1" l="1"/>
  <c r="AF7" i="1"/>
  <c r="AE7" i="1"/>
  <c r="AD7" i="1"/>
  <c r="AC7" i="1"/>
  <c r="AB7" i="1"/>
  <c r="K8" i="1"/>
  <c r="AA7" i="1"/>
  <c r="L8" i="1" s="1"/>
  <c r="AN7" i="1"/>
  <c r="AG6" i="1"/>
  <c r="AF6" i="1"/>
  <c r="AE6" i="1"/>
  <c r="AD6" i="1"/>
  <c r="AB6" i="1"/>
  <c r="AA6" i="1"/>
  <c r="L7" i="1" s="1"/>
  <c r="L5" i="1"/>
  <c r="L6" i="1"/>
  <c r="L4" i="1"/>
  <c r="L3" i="1"/>
  <c r="K7" i="1"/>
  <c r="H59" i="4"/>
  <c r="F59" i="4"/>
  <c r="B59" i="4"/>
  <c r="AG5" i="1"/>
  <c r="AF5" i="1"/>
  <c r="AE5" i="1"/>
  <c r="AD5" i="1"/>
  <c r="AC5" i="1"/>
  <c r="AB5" i="1"/>
  <c r="AA5" i="1"/>
  <c r="AG4" i="1"/>
  <c r="AF4" i="1"/>
  <c r="AE4" i="1"/>
  <c r="AA4" i="1"/>
  <c r="AD4" i="1"/>
  <c r="AC4" i="1"/>
  <c r="AB4" i="1"/>
  <c r="G55" i="4"/>
  <c r="F55" i="4"/>
  <c r="E55" i="4"/>
  <c r="D55" i="4"/>
  <c r="C55" i="4"/>
  <c r="B55" i="4"/>
  <c r="K4" i="1"/>
  <c r="AO2" i="1"/>
  <c r="K3" i="1"/>
  <c r="L2" i="1"/>
  <c r="F38" i="4"/>
  <c r="E38" i="4"/>
  <c r="F31" i="4"/>
  <c r="AE3" i="1"/>
  <c r="AE2" i="1"/>
  <c r="AG3" i="1"/>
  <c r="AF3" i="1"/>
  <c r="AD3" i="1"/>
  <c r="AC3" i="1"/>
  <c r="AB3" i="1"/>
  <c r="AA3" i="1"/>
  <c r="AG2" i="1"/>
  <c r="AF2" i="1"/>
  <c r="AD2" i="1"/>
  <c r="AC2" i="1"/>
  <c r="AB2" i="1"/>
  <c r="AA2" i="1"/>
  <c r="C38" i="4"/>
  <c r="D38" i="4"/>
  <c r="G38" i="4"/>
  <c r="H38" i="4"/>
  <c r="B38" i="4"/>
  <c r="H31" i="4"/>
  <c r="D31" i="4"/>
  <c r="E31" i="4"/>
  <c r="G31" i="4"/>
  <c r="C31" i="4"/>
  <c r="B3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<sst xmlns="http://schemas.openxmlformats.org/spreadsheetml/2006/main" count="216" uniqueCount="171">
  <si>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</si>
  <si>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</si>
  <si>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</si>
  <si>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</si>
  <si>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</si>
  <si>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</si>
  <si>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</si>
  <si>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</si>
  <si>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</si>
  <si>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</si>
  <si>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</si>
  <si>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</si>
  <si>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</si>
  <si>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</si>
  <si>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</si>
  <si>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</si>
  <si>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</si>
  <si>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</si>
  <si>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</si>
  <si>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</si>
  <si>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</si>
  <si>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</si>
  <si>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</si>
  <si>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</si>
  <si>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</si>
  <si>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</si>
  <si>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</si>
  <si>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</si>
  <si>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</si>
  <si>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sodiumDailyIntake</t>
  </si>
  <si>
    <t>fiber_grams</t>
  </si>
  <si>
    <t>dailyCalories</t>
  </si>
  <si>
    <t>notes_diet_mood_etc</t>
  </si>
  <si>
    <t>sodium</t>
  </si>
  <si>
    <t>calories</t>
  </si>
  <si>
    <t>Nutrition</t>
  </si>
  <si>
    <t>Dill_Bread_2slices</t>
  </si>
  <si>
    <t>eggs_2</t>
  </si>
  <si>
    <t>grapefruit</t>
  </si>
  <si>
    <t>sourcream_2tbls</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</si>
  <si>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</si>
  <si>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</si>
  <si>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</si>
  <si>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</si>
  <si>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</si>
  <si>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</si>
  <si>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</si>
  <si>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</si>
  <si>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</si>
  <si>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</si>
  <si>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</si>
  <si>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</si>
  <si>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</si>
  <si>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</si>
  <si>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</si>
  <si>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</si>
  <si>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</si>
  <si>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</si>
  <si>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</si>
  <si>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</si>
  <si>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</si>
  <si>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</si>
  <si>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</si>
  <si>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</si>
  <si>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</si>
  <si>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</si>
  <si>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</si>
  <si>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</si>
  <si>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</si>
  <si>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</si>
  <si>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</si>
  <si>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</si>
  <si>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</si>
  <si>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</si>
  <si>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</si>
  <si>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</si>
  <si>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</si>
  <si>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</si>
  <si>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</si>
  <si>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</si>
  <si>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</si>
  <si>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</si>
  <si>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</si>
  <si>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</si>
  <si>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</si>
  <si>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</si>
  <si>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</si>
  <si>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</si>
  <si>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</si>
  <si>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</si>
  <si>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</si>
  <si>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</si>
  <si>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</si>
  <si>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</si>
  <si>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</si>
  <si>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</si>
  <si>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</si>
  <si>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</si>
  <si>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</si>
  <si>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</si>
  <si>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</si>
  <si>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</si>
  <si>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</si>
  <si>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</si>
  <si>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</si>
  <si>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</si>
  <si>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</si>
  <si>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</si>
  <si>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</si>
  <si>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</si>
  <si>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</si>
  <si>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</si>
  <si>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</si>
  <si>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beyondMeat-soy/gluten free-serving 4oz</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</si>
  <si>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</si>
  <si>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</si>
  <si>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</si>
  <si>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</si>
  <si>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</si>
  <si>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</si>
  <si>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</si>
  <si>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</si>
  <si>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</si>
  <si>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</si>
  <si>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</si>
  <si>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</si>
  <si>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</si>
  <si>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</si>
  <si>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</si>
  <si>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</si>
  <si>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</si>
  <si>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</si>
  <si>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</si>
  <si>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</si>
  <si>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</si>
  <si>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</si>
  <si>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</si>
  <si>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</si>
  <si>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</si>
  <si>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</si>
  <si>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</si>
  <si>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</si>
  <si>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</si>
  <si>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</si>
  <si>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</si>
  <si>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</si>
  <si>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</si>
  <si>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</si>
  <si>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</si>
  <si>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</si>
  <si>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</si>
  <si>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</si>
  <si>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</si>
  <si>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</si>
  <si>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</si>
  <si>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</si>
  <si>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</si>
  <si>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</si>
  <si>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</si>
  <si>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</si>
  <si>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</si>
  <si>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</si>
  <si>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</si>
  <si>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</si>
  <si>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</si>
  <si>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</si>
  <si>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</si>
  <si>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</si>
  <si>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</si>
  <si>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</si>
  <si>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 xml:space="preserve">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</si>
</sst>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181"/>
  <sheetViews>
    <sheetView tabSelected="1" topLeftCell="Y1" zoomScale="85" zoomScaleNormal="85" workbookViewId="0">
      <pane ySplit="1" topLeftCell="A7" activePane="bottomLeft" state="frozen"/>
      <selection activeCell="O1" sqref="O1"/>
      <selection pane="bottomLeft" activeCell="Z18" sqref="Z18"/>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8" width="32.5703125" style="3" customWidth="1"/>
    <col min="9" max="9" width="9.140625" style="3"/>
    <col min="10" max="10" width="25.5703125" style="3" customWidth="1"/>
    <col min="11" max="11" width="25.5703125" style="11" customWidth="1"/>
    <col min="12" max="12" width="28.5703125" style="11" customWidth="1"/>
    <col min="13" max="13" width="34" style="11" customWidth="1"/>
    <col min="14" max="15" width="32" style="11" customWidth="1"/>
    <col min="16" max="16" width="26.85546875" style="11" customWidth="1"/>
    <col min="17" max="17" width="29.85546875" style="11" customWidth="1"/>
    <col min="18" max="18" width="31.7109375" style="11" customWidth="1"/>
    <col min="19" max="19" width="22.5703125" style="11" customWidth="1"/>
    <col min="20" max="20" width="22.28515625" style="11" customWidth="1"/>
    <col min="21" max="21" width="19.28515625" style="11" customWidth="1"/>
    <col min="22" max="22" width="16.7109375" style="11" customWidth="1"/>
    <col min="23" max="23" width="21.7109375" style="11" customWidth="1"/>
    <col min="24" max="24" width="20" style="11" customWidth="1"/>
    <col min="25" max="26" width="21.5703125" style="3" customWidth="1"/>
    <col min="27" max="27" width="25.140625" style="5" customWidth="1"/>
    <col min="28" max="28" width="20.28515625" style="6" customWidth="1"/>
    <col min="29" max="29" width="21.5703125" style="6" customWidth="1"/>
    <col min="30" max="31" width="20.85546875" style="6" customWidth="1"/>
    <col min="32" max="32" width="25.85546875" style="6" customWidth="1"/>
    <col min="33" max="33" width="21.42578125" style="6" customWidth="1"/>
    <col min="34" max="36" width="20.85546875" style="7" customWidth="1"/>
    <col min="37" max="39" width="25.42578125" style="3" customWidth="1"/>
    <col min="40" max="40" width="29.42578125" style="7" customWidth="1"/>
    <col min="41" max="41" width="32.7109375" style="3" customWidth="1"/>
    <col min="42" max="42" width="16.28515625" style="3" customWidth="1"/>
    <col min="43" max="43" width="23.140625" style="3" customWidth="1"/>
    <col min="44" max="44" width="15.5703125" style="3" customWidth="1"/>
    <col min="45" max="16384" width="9.140625" style="3"/>
  </cols>
  <sheetData>
    <row r="1" spans="1:49" x14ac:dyDescent="0.25">
      <c r="A1" s="3" t="s">
        <v>0</v>
      </c>
      <c r="B1" s="3" t="s">
        <v>128</v>
      </c>
      <c r="C1" s="3" t="s">
        <v>1</v>
      </c>
      <c r="D1" s="3" t="s">
        <v>2</v>
      </c>
      <c r="E1" s="4" t="s">
        <v>25</v>
      </c>
      <c r="F1" s="3" t="s">
        <v>129</v>
      </c>
      <c r="G1" s="3" t="s">
        <v>130</v>
      </c>
      <c r="H1" s="3" t="s">
        <v>90</v>
      </c>
      <c r="I1" s="3" t="s">
        <v>22</v>
      </c>
      <c r="J1" s="3" t="s">
        <v>3</v>
      </c>
      <c r="K1" s="11" t="s">
        <v>97</v>
      </c>
      <c r="L1" s="11" t="s">
        <v>96</v>
      </c>
      <c r="M1" s="11" t="s">
        <v>4</v>
      </c>
      <c r="N1" s="11" t="s">
        <v>121</v>
      </c>
      <c r="O1" s="11" t="s">
        <v>5</v>
      </c>
      <c r="P1" s="11" t="s">
        <v>6</v>
      </c>
      <c r="Q1" s="11" t="s">
        <v>7</v>
      </c>
      <c r="R1" s="11" t="s">
        <v>8</v>
      </c>
      <c r="S1" s="11" t="s">
        <v>9</v>
      </c>
      <c r="T1" s="11" t="s">
        <v>10</v>
      </c>
      <c r="U1" s="11" t="s">
        <v>11</v>
      </c>
      <c r="V1" s="11" t="s">
        <v>12</v>
      </c>
      <c r="W1" s="11" t="s">
        <v>13</v>
      </c>
      <c r="X1" s="11" t="s">
        <v>14</v>
      </c>
      <c r="Y1" s="3" t="s">
        <v>32</v>
      </c>
      <c r="Z1" s="3" t="s">
        <v>89</v>
      </c>
      <c r="AA1" s="5" t="s">
        <v>31</v>
      </c>
      <c r="AB1" s="6" t="s">
        <v>26</v>
      </c>
      <c r="AC1" s="6" t="s">
        <v>27</v>
      </c>
      <c r="AD1" s="6" t="s">
        <v>28</v>
      </c>
      <c r="AE1" s="6" t="s">
        <v>91</v>
      </c>
      <c r="AF1" s="6" t="s">
        <v>92</v>
      </c>
      <c r="AG1" s="6" t="s">
        <v>29</v>
      </c>
      <c r="AH1" s="7" t="s">
        <v>49</v>
      </c>
      <c r="AI1" s="7" t="s">
        <v>122</v>
      </c>
      <c r="AJ1" s="7" t="s">
        <v>88</v>
      </c>
      <c r="AK1" s="3" t="s">
        <v>21</v>
      </c>
      <c r="AL1" s="7" t="s">
        <v>94</v>
      </c>
      <c r="AM1" s="7" t="s">
        <v>95</v>
      </c>
      <c r="AN1" s="7" t="s">
        <v>101</v>
      </c>
      <c r="AO1" s="7" t="s">
        <v>102</v>
      </c>
      <c r="AP1" s="3" t="s">
        <v>24</v>
      </c>
      <c r="AQ1" s="3" t="s">
        <v>85</v>
      </c>
      <c r="AR1" s="3" t="s">
        <v>108</v>
      </c>
      <c r="AS1" s="3" t="s">
        <v>103</v>
      </c>
      <c r="AT1" s="3" t="s">
        <v>104</v>
      </c>
      <c r="AU1" s="3" t="s">
        <v>105</v>
      </c>
      <c r="AV1" s="3" t="s">
        <v>106</v>
      </c>
      <c r="AW1" s="3" t="s">
        <v>107</v>
      </c>
    </row>
    <row r="2" spans="1:49" ht="24.95" customHeight="1" x14ac:dyDescent="0.25">
      <c r="A2" s="3" t="s">
        <v>19</v>
      </c>
      <c r="B2" s="3">
        <v>1</v>
      </c>
      <c r="C2" s="8">
        <v>44219</v>
      </c>
      <c r="D2" s="9">
        <v>0.6875</v>
      </c>
      <c r="E2" s="4">
        <v>50</v>
      </c>
      <c r="F2" s="3">
        <v>5</v>
      </c>
      <c r="G2" s="3">
        <v>6</v>
      </c>
      <c r="H2" s="3">
        <v>30</v>
      </c>
      <c r="I2" s="9">
        <v>0.21875</v>
      </c>
      <c r="J2" s="3">
        <v>144.19999999999999</v>
      </c>
      <c r="K2" s="11">
        <v>0.8</v>
      </c>
      <c r="L2" s="5">
        <f>160+322+80+105+120+81+8.5+57+80+160+100+80</f>
        <v>1353.5</v>
      </c>
      <c r="M2" s="11">
        <v>32</v>
      </c>
      <c r="N2" s="11" t="s">
        <v>20</v>
      </c>
      <c r="O2" s="11">
        <v>11.5</v>
      </c>
      <c r="P2" s="11">
        <v>11.5</v>
      </c>
      <c r="Q2" s="11">
        <v>22.5</v>
      </c>
      <c r="R2" s="11">
        <v>22.5</v>
      </c>
      <c r="S2" s="11">
        <v>20</v>
      </c>
      <c r="T2" s="11">
        <v>22</v>
      </c>
      <c r="U2" s="11">
        <v>18</v>
      </c>
      <c r="V2" s="11">
        <v>18</v>
      </c>
      <c r="W2" s="11">
        <v>12</v>
      </c>
      <c r="X2" s="11">
        <v>10</v>
      </c>
      <c r="Y2" s="3" t="s">
        <v>98</v>
      </c>
      <c r="Z2" s="10" t="s">
        <v>86</v>
      </c>
      <c r="AA2" s="5">
        <f>100+80+70+12.75+57+105+107+81+240+200+160+310+80+81+200+90</f>
        <v>1973.75</v>
      </c>
      <c r="AB2" s="6">
        <f>1+5+5+6+2+10+3.5+5+1+3.5</f>
        <v>42</v>
      </c>
      <c r="AC2" s="6">
        <f>3.5+1.5+4+7+0.5+3.5+1</f>
        <v>21</v>
      </c>
      <c r="AD2" s="6">
        <f>2+6+6+1+2+12+4+12+16+6+2+4+3</f>
        <v>76</v>
      </c>
      <c r="AE2" s="6">
        <f>21+1+13.5+15+27+28+21+38+42+2+52+44+12+1+21</f>
        <v>338.5</v>
      </c>
      <c r="AF2" s="6">
        <f>2+3+4+4+8+6+2+1+3</f>
        <v>33</v>
      </c>
      <c r="AG2" s="6">
        <f>20+190+70+2+1+3+3+2+660+40+380+1630+190+2+460</f>
        <v>3653</v>
      </c>
      <c r="AH2" s="7">
        <v>3</v>
      </c>
      <c r="AI2" s="7">
        <v>1</v>
      </c>
      <c r="AJ2" s="7">
        <v>1</v>
      </c>
      <c r="AK2" s="10" t="s">
        <v>75</v>
      </c>
      <c r="AL2" s="10"/>
      <c r="AM2" s="10" t="s">
        <v>100</v>
      </c>
      <c r="AO2" s="10">
        <f>-10</f>
        <v>-10</v>
      </c>
      <c r="AP2" s="3">
        <v>31</v>
      </c>
      <c r="AQ2" s="3">
        <v>1</v>
      </c>
      <c r="AR2" s="3">
        <v>7</v>
      </c>
      <c r="AS2" s="3">
        <v>1</v>
      </c>
      <c r="AT2" s="3">
        <v>1</v>
      </c>
      <c r="AU2" s="3">
        <v>1</v>
      </c>
      <c r="AV2" s="3">
        <v>1</v>
      </c>
      <c r="AW2" s="3">
        <v>1</v>
      </c>
    </row>
    <row r="3" spans="1:49" ht="24.95" customHeight="1" x14ac:dyDescent="0.25">
      <c r="A3" s="3" t="s">
        <v>23</v>
      </c>
      <c r="B3" s="3">
        <v>2</v>
      </c>
      <c r="C3" s="8">
        <v>44220</v>
      </c>
      <c r="D3" s="9">
        <v>0.58333333333333337</v>
      </c>
      <c r="E3" s="4">
        <v>58</v>
      </c>
      <c r="F3" s="3">
        <v>0</v>
      </c>
      <c r="G3" s="3">
        <v>0</v>
      </c>
      <c r="H3" s="3">
        <v>0</v>
      </c>
      <c r="I3" s="9">
        <v>0.86805555555555547</v>
      </c>
      <c r="J3" s="3">
        <v>143.80000000000001</v>
      </c>
      <c r="K3" s="11">
        <f t="shared" ref="K3:K4" si="0">J3-J2</f>
        <v>-0.39999999999997726</v>
      </c>
      <c r="L3" s="5">
        <f>AA2</f>
        <v>1973.75</v>
      </c>
      <c r="M3" s="11">
        <v>32</v>
      </c>
      <c r="N3" s="11" t="s">
        <v>20</v>
      </c>
      <c r="O3" s="11">
        <v>11.5</v>
      </c>
      <c r="P3" s="11">
        <v>11.5</v>
      </c>
      <c r="Q3" s="11">
        <v>22.5</v>
      </c>
      <c r="R3" s="11">
        <v>22.5</v>
      </c>
      <c r="S3" s="11">
        <v>22</v>
      </c>
      <c r="T3" s="11">
        <v>22</v>
      </c>
      <c r="U3" s="11">
        <v>22</v>
      </c>
      <c r="V3" s="11">
        <v>22</v>
      </c>
      <c r="W3" s="11">
        <v>12</v>
      </c>
      <c r="X3" s="11">
        <v>14</v>
      </c>
      <c r="Y3" s="3" t="s">
        <v>99</v>
      </c>
      <c r="Z3" s="10" t="s">
        <v>87</v>
      </c>
      <c r="AA3" s="5">
        <f>200+90+20+200+38.25+57+107+81+240+200+90+20+200+81+57</f>
        <v>1681.25</v>
      </c>
      <c r="AB3" s="6">
        <f>1+3.5+1.5+9+1.6+1+3.5+1.5+9</f>
        <v>31.6</v>
      </c>
      <c r="AC3" s="6">
        <f>1+1+9+1+1+9</f>
        <v>22</v>
      </c>
      <c r="AD3" s="6">
        <f>4+3+2+12+1+2+4.8+4+3+2+12+2</f>
        <v>51.8</v>
      </c>
      <c r="AE3" s="6">
        <f>44+12+40.5+15+28+21+33+44+12+21+15</f>
        <v>285.5</v>
      </c>
      <c r="AF3" s="6">
        <f>1+3+3+3+4+3.2+1+3+4+3</f>
        <v>28.2</v>
      </c>
      <c r="AG3" s="6">
        <f>460+100+340+6+1+3+2+448+460+100+340+2+1</f>
        <v>2263</v>
      </c>
      <c r="AH3" s="7">
        <v>3</v>
      </c>
      <c r="AI3" s="7">
        <v>1</v>
      </c>
      <c r="AJ3" s="7">
        <v>1</v>
      </c>
      <c r="AK3" s="10"/>
      <c r="AL3" s="10"/>
      <c r="AM3" s="10"/>
      <c r="AO3" s="10"/>
      <c r="AP3" s="3">
        <v>31</v>
      </c>
      <c r="AQ3" s="3">
        <v>1</v>
      </c>
      <c r="AR3" s="3">
        <v>7</v>
      </c>
      <c r="AS3" s="3">
        <v>1</v>
      </c>
      <c r="AT3" s="3">
        <v>1</v>
      </c>
      <c r="AU3" s="3">
        <v>1</v>
      </c>
      <c r="AV3" s="3">
        <v>1</v>
      </c>
      <c r="AW3" s="3">
        <v>1</v>
      </c>
    </row>
    <row r="4" spans="1:49" ht="24.95" customHeight="1" x14ac:dyDescent="0.25">
      <c r="A4" s="3" t="s">
        <v>15</v>
      </c>
      <c r="B4" s="3">
        <v>3</v>
      </c>
      <c r="C4" s="8">
        <v>44221</v>
      </c>
      <c r="D4" s="9">
        <v>0.58333333333333337</v>
      </c>
      <c r="E4" s="4">
        <v>54</v>
      </c>
      <c r="F4" s="3">
        <v>0</v>
      </c>
      <c r="G4" s="3">
        <v>0</v>
      </c>
      <c r="H4" s="3">
        <v>0</v>
      </c>
      <c r="I4" s="9">
        <v>0.58333333333333337</v>
      </c>
      <c r="J4" s="3">
        <v>141.6</v>
      </c>
      <c r="K4" s="11">
        <f t="shared" si="0"/>
        <v>-2.2000000000000171</v>
      </c>
      <c r="L4" s="5">
        <f>AA3</f>
        <v>1681.25</v>
      </c>
      <c r="M4" s="11">
        <v>31.5</v>
      </c>
      <c r="N4" s="11" t="s">
        <v>20</v>
      </c>
      <c r="O4" s="11">
        <v>11.25</v>
      </c>
      <c r="P4" s="11">
        <v>11.25</v>
      </c>
      <c r="Q4" s="11">
        <v>22.5</v>
      </c>
      <c r="R4" s="11">
        <v>22.5</v>
      </c>
      <c r="S4" s="11">
        <v>20</v>
      </c>
      <c r="T4" s="11">
        <v>20</v>
      </c>
      <c r="U4" s="11">
        <v>20</v>
      </c>
      <c r="V4" s="11">
        <v>20</v>
      </c>
      <c r="W4" s="11">
        <v>10</v>
      </c>
      <c r="X4" s="11">
        <v>10</v>
      </c>
      <c r="Y4" s="3" t="s">
        <v>116</v>
      </c>
      <c r="Z4" s="10" t="s">
        <v>110</v>
      </c>
      <c r="AA4" s="5">
        <f>90+200+20+200+81+75+322+200+100+75+200+290+105.6+322+200+175</f>
        <v>2655.6</v>
      </c>
      <c r="AB4" s="6">
        <f>3.5+1+1.5+9+5+1+9+29+5+12+13+4.62+29+9+11.4</f>
        <v>143.02000000000001</v>
      </c>
      <c r="AC4" s="6">
        <f>1+1+9+4.5+4+9+4.5+6+12+1.32+4+9+0+10.5</f>
        <v>75.819999999999993</v>
      </c>
      <c r="AD4" s="6">
        <f>3+4+2+12+0.75+2+12+4+0.75+7+2+1.32+4+12+2+1.75</f>
        <v>70.569999999999993</v>
      </c>
      <c r="AE4" s="6">
        <f>12+44+1+21+8.25+21+1+17+8.25+39+22+13.86+17+1+24+19.25</f>
        <v>269.61</v>
      </c>
      <c r="AF4" s="6">
        <f>3+1+4+0.75+2+18+0.75+3+2+1.32+18+2+1.75</f>
        <v>57.57</v>
      </c>
      <c r="AG4" s="6">
        <f>460+100+340+2+7.5+20+340+14+7.5+1150+20+14+340+17.5</f>
        <v>2832.5</v>
      </c>
      <c r="AH4" s="7">
        <v>3</v>
      </c>
      <c r="AI4" s="7">
        <v>2</v>
      </c>
      <c r="AJ4" s="7">
        <v>1</v>
      </c>
      <c r="AP4" s="3">
        <v>31</v>
      </c>
      <c r="AQ4" s="3">
        <v>1</v>
      </c>
      <c r="AR4" s="3">
        <v>7</v>
      </c>
      <c r="AS4" s="3">
        <v>0</v>
      </c>
      <c r="AT4" s="3">
        <v>1</v>
      </c>
      <c r="AU4" s="3">
        <v>0</v>
      </c>
      <c r="AV4" s="3">
        <v>1</v>
      </c>
      <c r="AW4" s="3">
        <v>1</v>
      </c>
    </row>
    <row r="5" spans="1:49" ht="24.95" customHeight="1" x14ac:dyDescent="0.25">
      <c r="A5" s="3" t="s">
        <v>16</v>
      </c>
      <c r="B5" s="3">
        <v>4</v>
      </c>
      <c r="C5" s="8">
        <v>44222</v>
      </c>
      <c r="D5" s="9">
        <v>0.59375</v>
      </c>
      <c r="E5" s="4">
        <v>57</v>
      </c>
      <c r="F5" s="3">
        <v>12</v>
      </c>
      <c r="G5" s="3">
        <v>3</v>
      </c>
      <c r="H5" s="3">
        <v>36</v>
      </c>
      <c r="I5" s="3" t="s">
        <v>20</v>
      </c>
      <c r="J5" s="3" t="s">
        <v>20</v>
      </c>
      <c r="K5" s="11" t="s">
        <v>20</v>
      </c>
      <c r="L5" s="5">
        <f t="shared" ref="L5:L8" si="1">AA4</f>
        <v>2655.6</v>
      </c>
      <c r="M5" s="11" t="s">
        <v>20</v>
      </c>
      <c r="N5" s="11" t="s">
        <v>20</v>
      </c>
      <c r="O5" s="11" t="s">
        <v>20</v>
      </c>
      <c r="P5" s="11" t="s">
        <v>20</v>
      </c>
      <c r="Q5" s="11" t="s">
        <v>20</v>
      </c>
      <c r="R5" s="11" t="s">
        <v>20</v>
      </c>
      <c r="S5" s="11" t="s">
        <v>20</v>
      </c>
      <c r="T5" s="11" t="s">
        <v>20</v>
      </c>
      <c r="U5" s="11" t="s">
        <v>20</v>
      </c>
      <c r="V5" s="11" t="s">
        <v>20</v>
      </c>
      <c r="W5" s="11" t="s">
        <v>20</v>
      </c>
      <c r="X5" s="11" t="s">
        <v>20</v>
      </c>
      <c r="Y5" s="3" t="s">
        <v>120</v>
      </c>
      <c r="Z5" s="10" t="s">
        <v>124</v>
      </c>
      <c r="AA5" s="5">
        <f>200+150+60+161+330+260+31+37+40+161+20+81+330+260+31+37+40+20+100+92+57+140</f>
        <v>2638</v>
      </c>
      <c r="AB5" s="6">
        <f>2+6.75+1+14.5+2.5+18+0.34+14.5+1.5+2.5+18+0.34+1.5+4.5+10</f>
        <v>97.93</v>
      </c>
      <c r="AC5" s="6">
        <f>0+6.75+0+2+0.5+5+0.04+0+0+2+1+0+0.5+5+0.04+0+0+1+4.5+0+0+3</f>
        <v>31.33</v>
      </c>
      <c r="AD5" s="6">
        <f>4+9+2+2+23+20+3+1+1+2+2+2+23+20+3+1+1+2+6+2+0+12</f>
        <v>141</v>
      </c>
      <c r="AE5" s="6">
        <f>42+0.75+12+8.5+61+5+6+7+10+8.5+0+21+61+5+6+7+10+0+0.5+24+15+0</f>
        <v>310.25</v>
      </c>
      <c r="AF5" s="6">
        <f>4+0+2+6.5+11+2+2+2+3+6.5+0+4+11+2+2+2+3+0+0+2+3+0</f>
        <v>68</v>
      </c>
      <c r="AG5" s="6">
        <f>40+255+420+7+0+350+30.03+5+0+7+100+2+0+350+30.03+5+0+100+170+0+1+140</f>
        <v>2012.06</v>
      </c>
      <c r="AH5" s="7">
        <v>3</v>
      </c>
      <c r="AI5" s="7">
        <v>1</v>
      </c>
      <c r="AJ5" s="7">
        <v>1</v>
      </c>
      <c r="AK5" s="10" t="s">
        <v>117</v>
      </c>
      <c r="AP5" s="3">
        <v>31</v>
      </c>
      <c r="AQ5" s="3">
        <v>1</v>
      </c>
      <c r="AR5" s="3">
        <v>8.5</v>
      </c>
      <c r="AS5" s="3">
        <v>1</v>
      </c>
      <c r="AT5" s="3">
        <v>1</v>
      </c>
      <c r="AU5" s="3">
        <v>1</v>
      </c>
      <c r="AV5" s="3">
        <v>1</v>
      </c>
      <c r="AW5" s="3">
        <v>1</v>
      </c>
    </row>
    <row r="6" spans="1:49" ht="20.100000000000001" customHeight="1" x14ac:dyDescent="0.25">
      <c r="A6" s="3" t="s">
        <v>17</v>
      </c>
      <c r="B6" s="3">
        <v>5</v>
      </c>
      <c r="C6" s="8">
        <v>44223</v>
      </c>
      <c r="D6" s="9">
        <v>0.6875</v>
      </c>
      <c r="E6" s="4">
        <v>52</v>
      </c>
      <c r="F6" s="3">
        <v>0</v>
      </c>
      <c r="G6" s="3">
        <v>0</v>
      </c>
      <c r="H6" s="3">
        <v>0</v>
      </c>
      <c r="I6" s="9">
        <v>0.6875</v>
      </c>
      <c r="J6" s="3">
        <v>142.4</v>
      </c>
      <c r="K6" s="11" t="s">
        <v>20</v>
      </c>
      <c r="L6" s="5">
        <f t="shared" si="1"/>
        <v>2638</v>
      </c>
      <c r="M6" s="11">
        <v>31</v>
      </c>
      <c r="N6" s="11">
        <v>33</v>
      </c>
      <c r="O6" s="11">
        <v>11.75</v>
      </c>
      <c r="P6" s="11">
        <v>11.5</v>
      </c>
      <c r="Q6" s="11">
        <v>22.5</v>
      </c>
      <c r="R6" s="11">
        <v>22.5</v>
      </c>
      <c r="S6" s="11">
        <v>20</v>
      </c>
      <c r="T6" s="11">
        <v>20</v>
      </c>
      <c r="U6" s="11">
        <v>20</v>
      </c>
      <c r="V6" s="11">
        <v>20</v>
      </c>
      <c r="W6" s="11">
        <v>10</v>
      </c>
      <c r="X6" s="11">
        <v>10</v>
      </c>
      <c r="Y6" s="3" t="s">
        <v>131</v>
      </c>
      <c r="Z6" s="10" t="s">
        <v>132</v>
      </c>
      <c r="AA6" s="3">
        <f>330+260+60+31+37+40+20+160+208+57+200+160+180+322+81+330+260+60+31+37+40+20+160+150+60+200+615+200+160+120</f>
        <v>4589</v>
      </c>
      <c r="AB6" s="3">
        <f>2.5+18+1+0.34+0+0+1.5+10+0+0+2+10+4.5+29+0+2.5+18+1+0.34+0+0+1.5+10+10+5+0+0+2+10+3</f>
        <v>142.18</v>
      </c>
      <c r="AC6" s="3">
        <f>0.5+5+0+0.04+0+0+1+7+0+0+0+7+3+4+0+0.5+5+0+0.04+0+0+1+7+1.5+3.5+0+0+0+7+2</f>
        <v>55.08</v>
      </c>
      <c r="AD6" s="3">
        <f>23+20+2+3+1+1+2+12+2+0+4+12+9+4+2+23+20+2+3+1+1+2+12+1+1+0+0+4+12+6</f>
        <v>185</v>
      </c>
      <c r="AE6" s="3">
        <f>61+5+12+6+7+10+0+2+54+15+42+2+28.5+17+21+61+5+12+6+7+10+0+2+15+2+50+20+42+2+19</f>
        <v>535.5</v>
      </c>
      <c r="AF6" s="3">
        <f>11+2+2+2+2+3+0+0+2+3+4+0+3+18+4+11+2+2+2+2+3+0+0+1+0+4+0+4+0+2</f>
        <v>89</v>
      </c>
      <c r="AG6" s="3">
        <f>0+350+420+30.03+5+0+100+380+6+1+40+380+495+14+2+0+350+420+30.03+5+0+100+380+140+15+0+30+40+380+330</f>
        <v>4443.0599999999995</v>
      </c>
      <c r="AH6" s="7">
        <v>3</v>
      </c>
      <c r="AI6" s="7">
        <v>3</v>
      </c>
      <c r="AJ6" s="7">
        <v>1</v>
      </c>
      <c r="AP6" s="3">
        <v>31</v>
      </c>
      <c r="AQ6" s="3">
        <v>1</v>
      </c>
      <c r="AR6" s="3">
        <v>7</v>
      </c>
      <c r="AS6" s="3">
        <v>1</v>
      </c>
      <c r="AT6" s="3">
        <v>0</v>
      </c>
      <c r="AU6" s="3">
        <v>1</v>
      </c>
      <c r="AV6" s="3">
        <v>1</v>
      </c>
      <c r="AW6" s="3">
        <v>1</v>
      </c>
    </row>
    <row r="7" spans="1:49" ht="20.100000000000001" customHeight="1" x14ac:dyDescent="0.25">
      <c r="A7" s="3" t="s">
        <v>18</v>
      </c>
      <c r="B7" s="3">
        <v>6</v>
      </c>
      <c r="C7" s="8">
        <v>44224</v>
      </c>
      <c r="D7" s="9">
        <v>0.39583333333333331</v>
      </c>
      <c r="E7" s="4">
        <v>54</v>
      </c>
      <c r="F7" s="3">
        <v>9</v>
      </c>
      <c r="G7" s="3">
        <v>5</v>
      </c>
      <c r="H7" s="3">
        <v>45</v>
      </c>
      <c r="I7" s="9">
        <v>0.21875</v>
      </c>
      <c r="J7" s="3">
        <v>140.6</v>
      </c>
      <c r="K7" s="11">
        <f>J7-J6</f>
        <v>-1.8000000000000114</v>
      </c>
      <c r="L7" s="5">
        <f t="shared" si="1"/>
        <v>4589</v>
      </c>
      <c r="M7" s="11">
        <v>32.5</v>
      </c>
      <c r="N7" s="11">
        <v>33.5</v>
      </c>
      <c r="O7" s="11">
        <v>11.5</v>
      </c>
      <c r="P7" s="11">
        <v>11.5</v>
      </c>
      <c r="Q7" s="11">
        <v>23</v>
      </c>
      <c r="R7" s="11">
        <v>23</v>
      </c>
      <c r="S7" s="11">
        <v>22</v>
      </c>
      <c r="T7" s="11">
        <v>22</v>
      </c>
      <c r="U7" s="11">
        <v>20</v>
      </c>
      <c r="V7" s="11">
        <v>20</v>
      </c>
      <c r="W7" s="11">
        <v>10</v>
      </c>
      <c r="X7" s="11">
        <v>10</v>
      </c>
      <c r="Y7" s="3" t="s">
        <v>135</v>
      </c>
      <c r="Z7" s="10" t="s">
        <v>136</v>
      </c>
      <c r="AA7" s="3">
        <f>330+260+60+31+37+40+20+200+160+140+322+200+270+300+81+920+100+80+120</f>
        <v>3671</v>
      </c>
      <c r="AB7" s="3">
        <f>2.5+18+1+0.34+0+0+1.5+2+10+10+29+0+7+2+0+0+1+5+3</f>
        <v>92.34</v>
      </c>
      <c r="AC7" s="3">
        <f>0.5+5+0+3+0+0+1+0+7+3+4+0+1+0+0+2+0+3.5+2</f>
        <v>32</v>
      </c>
      <c r="AD7" s="3">
        <f>23+20+2+3+1+1+2+4+12+12+4+0+6+6+2+24+2+6+6</f>
        <v>136</v>
      </c>
      <c r="AE7" s="3">
        <f>61+5+12+6+7+10+0+42+2+0+17+50+46+66+21+24+21+1+19</f>
        <v>410</v>
      </c>
      <c r="AF7" s="3">
        <f>11+2+2+2+2+3+0+4+0+0+18+4+3+4+4+2+2+0+2</f>
        <v>65</v>
      </c>
      <c r="AG7" s="3">
        <f>0+350+420+30.03+5+0+100+40+380+140+14+0+55+560+2+0+20+190+330</f>
        <v>2636.0299999999997</v>
      </c>
      <c r="AH7" s="7">
        <v>3</v>
      </c>
      <c r="AI7" s="7">
        <v>1</v>
      </c>
      <c r="AJ7" s="7">
        <v>1</v>
      </c>
      <c r="AK7" s="10" t="s">
        <v>133</v>
      </c>
      <c r="AL7" s="3" t="s">
        <v>134</v>
      </c>
      <c r="AN7" s="7">
        <f>5+10+10</f>
        <v>25</v>
      </c>
      <c r="AP7" s="3">
        <v>31</v>
      </c>
      <c r="AQ7" s="3">
        <v>1</v>
      </c>
      <c r="AR7" s="3">
        <v>6</v>
      </c>
      <c r="AS7" s="3">
        <v>1</v>
      </c>
      <c r="AT7" s="3">
        <v>1</v>
      </c>
      <c r="AU7" s="3">
        <v>1</v>
      </c>
      <c r="AV7" s="3">
        <v>1</v>
      </c>
      <c r="AW7" s="3">
        <v>1</v>
      </c>
    </row>
    <row r="8" spans="1:49" ht="20.100000000000001" customHeight="1" x14ac:dyDescent="0.25">
      <c r="A8" s="3" t="s">
        <v>141</v>
      </c>
      <c r="B8" s="3">
        <v>7</v>
      </c>
      <c r="C8" s="8">
        <v>44225</v>
      </c>
      <c r="D8" s="9">
        <v>0.58333333333333337</v>
      </c>
      <c r="E8" s="4">
        <v>50</v>
      </c>
      <c r="F8" s="3">
        <v>0</v>
      </c>
      <c r="G8" s="3">
        <v>0</v>
      </c>
      <c r="H8" s="3">
        <v>0</v>
      </c>
      <c r="I8" s="9">
        <v>0.29166666666666669</v>
      </c>
      <c r="J8" s="3">
        <v>141.4</v>
      </c>
      <c r="K8" s="11">
        <f>J8-J7</f>
        <v>0.80000000000001137</v>
      </c>
      <c r="L8" s="5">
        <f t="shared" si="1"/>
        <v>3671</v>
      </c>
      <c r="M8" s="11">
        <v>31.5</v>
      </c>
      <c r="N8" s="11">
        <v>33</v>
      </c>
      <c r="O8" s="11">
        <v>11.25</v>
      </c>
      <c r="P8" s="11">
        <v>11.25</v>
      </c>
      <c r="Q8" s="11">
        <v>21.75</v>
      </c>
      <c r="R8" s="11">
        <v>21.75</v>
      </c>
      <c r="S8" s="11">
        <v>20</v>
      </c>
      <c r="T8" s="11">
        <v>20</v>
      </c>
      <c r="U8" s="11">
        <v>20</v>
      </c>
      <c r="V8" s="11">
        <v>20</v>
      </c>
      <c r="W8" s="11">
        <v>14</v>
      </c>
      <c r="X8" s="11">
        <v>14</v>
      </c>
      <c r="Y8" s="3" t="s">
        <v>150</v>
      </c>
      <c r="Z8" s="10" t="s">
        <v>148</v>
      </c>
      <c r="AA8" s="3">
        <f>140+322+200+160+162+92+150+240+42+100+22.1+190+200+5+75</f>
        <v>2100.1</v>
      </c>
      <c r="AB8" s="3">
        <f>10+29+2+10+0+0+1+6+0.4+8+0.2+18+0+0+0.5</f>
        <v>85.100000000000009</v>
      </c>
      <c r="AC8" s="3">
        <f>3+4+0+7+0+0+0+4+0+5+0+1.5+0+0+0</f>
        <v>24.5</v>
      </c>
      <c r="AD8" s="3">
        <f>12+4+4+12+4+2+3+12+1+7+1.1+4+0+0+1.5</f>
        <v>67.599999999999994</v>
      </c>
      <c r="AE8" s="3">
        <f>0+17+42+2+42+24+32+38+10+0+4.8+4+50+1+16</f>
        <v>282.8</v>
      </c>
      <c r="AF8" s="3">
        <f>0+18+4+0+8+2+2+4+2.2+0+1.5+2+4+0+1</f>
        <v>48.7</v>
      </c>
      <c r="AG8" s="3">
        <f>140+14+40+380+4+0+280+660+412+170+6.2+0+0+0+140</f>
        <v>2246.1999999999998</v>
      </c>
      <c r="AH8" s="7">
        <v>3</v>
      </c>
      <c r="AI8" s="7">
        <v>1</v>
      </c>
      <c r="AJ8" s="7">
        <v>0</v>
      </c>
      <c r="AP8" s="3">
        <v>31</v>
      </c>
      <c r="AQ8" s="3">
        <v>1</v>
      </c>
      <c r="AR8" s="3">
        <v>6.5</v>
      </c>
      <c r="AS8" s="3">
        <v>1</v>
      </c>
      <c r="AT8" s="3">
        <v>1</v>
      </c>
      <c r="AU8" s="3">
        <v>1</v>
      </c>
      <c r="AV8" s="3">
        <v>1</v>
      </c>
      <c r="AW8" s="3">
        <v>1</v>
      </c>
    </row>
    <row r="9" spans="1:49" ht="20.100000000000001" customHeight="1" x14ac:dyDescent="0.25">
      <c r="A9" s="3" t="s">
        <v>19</v>
      </c>
      <c r="B9" s="3">
        <v>8</v>
      </c>
      <c r="C9" s="8">
        <v>44226</v>
      </c>
      <c r="D9" s="9">
        <v>0.29166666666666669</v>
      </c>
      <c r="E9" s="4">
        <v>40</v>
      </c>
      <c r="F9" s="3">
        <v>12</v>
      </c>
      <c r="G9" s="3">
        <v>3</v>
      </c>
      <c r="H9" s="3">
        <v>36</v>
      </c>
      <c r="I9" s="9">
        <v>0.29166666666666669</v>
      </c>
      <c r="J9" s="3">
        <v>141.4</v>
      </c>
      <c r="M9" s="5">
        <v>32.5</v>
      </c>
      <c r="N9" s="11">
        <v>33.5</v>
      </c>
      <c r="O9" s="11">
        <v>11.25</v>
      </c>
      <c r="P9" s="11" t="s">
        <v>144</v>
      </c>
      <c r="Q9" s="11">
        <v>22.5</v>
      </c>
      <c r="R9" s="11">
        <v>22.5</v>
      </c>
      <c r="S9" s="11">
        <v>20</v>
      </c>
      <c r="T9" s="11">
        <v>20</v>
      </c>
      <c r="U9" s="11">
        <v>20</v>
      </c>
      <c r="V9" s="11">
        <v>20</v>
      </c>
      <c r="W9" s="11">
        <v>12</v>
      </c>
      <c r="X9" s="11">
        <v>10</v>
      </c>
      <c r="Y9" s="3" t="s">
        <v>149</v>
      </c>
      <c r="Z9" s="10" t="s">
        <v>145</v>
      </c>
      <c r="AA9" s="3">
        <f>42+100+22.1+190+150+200+260+60+42+100+22.1+190+20</f>
        <v>1398.1999999999998</v>
      </c>
      <c r="AB9" s="3">
        <f>0.4+8+0.2+18+1+1+18+1+0.4+8+0.2+18+1.5</f>
        <v>75.7</v>
      </c>
      <c r="AC9" s="3">
        <f>0+5+0+1.5+0+0+0+5+0+0+5+0+1.5+1</f>
        <v>19</v>
      </c>
      <c r="AD9" s="3">
        <f>1+7+1.1+4+3+4+20+2+1+7+1.1+4+2</f>
        <v>57.2</v>
      </c>
      <c r="AE9" s="3">
        <f>10+0+4.8+4+33+44+5+12+10+0+4.8+4+0</f>
        <v>131.6</v>
      </c>
      <c r="AF9" s="3">
        <f>2.2+0+1.5+2+2+1+2+2+2.2+0+1.5+2+0</f>
        <v>18.399999999999999</v>
      </c>
      <c r="AG9" s="3">
        <f>412+170+6.2+0+280+0+350+420+412+170+6.2+0+100</f>
        <v>2326.3999999999996</v>
      </c>
      <c r="AH9" s="7">
        <v>3</v>
      </c>
      <c r="AI9" s="7">
        <v>3</v>
      </c>
      <c r="AJ9" s="7">
        <v>0</v>
      </c>
      <c r="AK9" s="10" t="s">
        <v>143</v>
      </c>
      <c r="AL9" s="3" t="s">
        <v>142</v>
      </c>
      <c r="AP9" s="3">
        <v>31</v>
      </c>
      <c r="AQ9" s="3">
        <v>1</v>
      </c>
      <c r="AR9" s="3">
        <v>7.5</v>
      </c>
      <c r="AS9" s="3">
        <v>1</v>
      </c>
      <c r="AT9" s="3">
        <v>1</v>
      </c>
      <c r="AU9" s="3">
        <v>1</v>
      </c>
      <c r="AV9" s="3">
        <v>1</v>
      </c>
      <c r="AW9" s="3">
        <v>1</v>
      </c>
    </row>
    <row r="10" spans="1:49" ht="20.100000000000001" customHeight="1" x14ac:dyDescent="0.25">
      <c r="A10" s="3" t="s">
        <v>19</v>
      </c>
      <c r="B10" s="3">
        <v>8</v>
      </c>
      <c r="C10" s="8">
        <v>44226</v>
      </c>
      <c r="D10" s="9">
        <v>0.83333333333333337</v>
      </c>
      <c r="E10" s="4">
        <v>53</v>
      </c>
      <c r="F10" s="3">
        <v>12</v>
      </c>
      <c r="G10" s="3">
        <v>3</v>
      </c>
      <c r="H10" s="3">
        <v>36</v>
      </c>
      <c r="I10" s="9">
        <v>0.83333333333333337</v>
      </c>
      <c r="J10" s="3">
        <v>144</v>
      </c>
      <c r="M10" s="5">
        <v>31</v>
      </c>
      <c r="N10" s="11">
        <v>33.5</v>
      </c>
      <c r="O10" s="11">
        <v>11.25</v>
      </c>
      <c r="P10" s="11" t="s">
        <v>144</v>
      </c>
      <c r="Q10" s="11">
        <v>22.5</v>
      </c>
      <c r="R10" s="11">
        <v>22.5</v>
      </c>
      <c r="S10" s="11">
        <v>20</v>
      </c>
      <c r="T10" s="11">
        <v>20</v>
      </c>
      <c r="U10" s="11">
        <v>20</v>
      </c>
      <c r="V10" s="11">
        <v>20</v>
      </c>
      <c r="W10" s="11">
        <v>12</v>
      </c>
      <c r="X10" s="11">
        <v>10</v>
      </c>
      <c r="Y10" s="3" t="s">
        <v>149</v>
      </c>
      <c r="Z10" s="10" t="s">
        <v>145</v>
      </c>
      <c r="AA10" s="3">
        <f>42+100+22.1+190+150+200+260+60+42+100+22.1+190+20</f>
        <v>1398.1999999999998</v>
      </c>
      <c r="AB10" s="3">
        <f>0.4+8+0.2+18+1+1+18+1+0.4+8+0.2+18+1.5</f>
        <v>75.7</v>
      </c>
      <c r="AC10" s="3">
        <f>0+5+0+1.5+0+0+0+5+0+0+5+0+1.5+1</f>
        <v>19</v>
      </c>
      <c r="AD10" s="3">
        <f>1+7+1.1+4+3+4+20+2+1+7+1.1+4+2</f>
        <v>57.2</v>
      </c>
      <c r="AE10" s="3">
        <f>10+0+4.8+4+33+44+5+12+10+0+4.8+4+0</f>
        <v>131.6</v>
      </c>
      <c r="AF10" s="3">
        <f>2.2+0+1.5+2+2+1+2+2+2.2+0+1.5+2+0</f>
        <v>18.399999999999999</v>
      </c>
      <c r="AG10" s="3">
        <f>412+170+6.2+0+280+0+350+420+412+170+6.2+0+100</f>
        <v>2326.3999999999996</v>
      </c>
      <c r="AH10" s="7">
        <v>3</v>
      </c>
      <c r="AI10" s="7">
        <v>3</v>
      </c>
      <c r="AJ10" s="7">
        <v>0</v>
      </c>
      <c r="AK10" s="10" t="s">
        <v>143</v>
      </c>
      <c r="AL10" s="3" t="s">
        <v>142</v>
      </c>
      <c r="AP10" s="3">
        <v>31</v>
      </c>
      <c r="AQ10" s="3">
        <v>1</v>
      </c>
      <c r="AR10" s="3">
        <v>7.5</v>
      </c>
      <c r="AS10" s="3">
        <v>1</v>
      </c>
      <c r="AT10" s="3">
        <v>1</v>
      </c>
      <c r="AU10" s="3">
        <v>1</v>
      </c>
      <c r="AV10" s="3">
        <v>1</v>
      </c>
      <c r="AW10" s="3">
        <v>1</v>
      </c>
    </row>
    <row r="11" spans="1:49" ht="20.100000000000001" customHeight="1" x14ac:dyDescent="0.25">
      <c r="A11" s="3" t="s">
        <v>23</v>
      </c>
      <c r="B11" s="3">
        <v>9</v>
      </c>
      <c r="C11" s="8">
        <v>44227</v>
      </c>
      <c r="D11" s="9">
        <v>0.58333333333333337</v>
      </c>
      <c r="E11" s="4">
        <v>73</v>
      </c>
      <c r="F11" s="3">
        <v>0</v>
      </c>
      <c r="G11" s="3">
        <v>0</v>
      </c>
      <c r="H11" s="3">
        <v>0</v>
      </c>
      <c r="I11" s="9">
        <v>0.25694444444444448</v>
      </c>
      <c r="J11" s="3">
        <v>139.4</v>
      </c>
      <c r="M11" s="5">
        <v>31.5</v>
      </c>
      <c r="N11" s="11">
        <v>33.5</v>
      </c>
      <c r="O11" s="11">
        <v>11.5</v>
      </c>
      <c r="P11" s="11">
        <v>11.5</v>
      </c>
      <c r="Q11" s="11">
        <v>21.5</v>
      </c>
      <c r="R11" s="11">
        <v>21.5</v>
      </c>
      <c r="S11" s="11">
        <v>20</v>
      </c>
      <c r="T11" s="11">
        <v>20</v>
      </c>
      <c r="U11" s="11">
        <v>20</v>
      </c>
      <c r="V11" s="11">
        <v>20</v>
      </c>
      <c r="W11" s="11">
        <v>10</v>
      </c>
      <c r="X11" s="11">
        <v>10</v>
      </c>
      <c r="Y11" s="3" t="s">
        <v>147</v>
      </c>
      <c r="Z11" s="10" t="s">
        <v>146</v>
      </c>
      <c r="AA11" s="5">
        <f>200+260+60+42+100+22.1+190+20+200+260+60+42+100+22.1+190+81+92+200+260+60+42+100+22.1+190+100+20+107</f>
        <v>3042.2999999999997</v>
      </c>
      <c r="AB11" s="6">
        <f>1+18+1+0.4+8+0.2+18+1.5+1+18+1+0.4+8+0.2+18+0+0+1+18+1+0.4+8+0.2+18+8+1.5+0</f>
        <v>150.80000000000001</v>
      </c>
      <c r="AC11" s="6">
        <f>0+5+0+5+0+1.5+1+0+5+0+0+5+0+1.5+0+0+0+5+0+0+5+0+1.5+4.5+1+0</f>
        <v>41</v>
      </c>
      <c r="AD11" s="6">
        <f>4+20+2+1+7+1.1+4+2+2+4+20+2+2+1+7+1.1+4+2+2+4+20+2+1+7+1.1+4+5+2+1</f>
        <v>135.29999999999998</v>
      </c>
      <c r="AE11" s="6">
        <f>44+5+12+10+0+4.8+4+0+44+5+12+10+0+4.8+4+21+24+44+5+12+10+0+4.8+4+2+0+28</f>
        <v>314.40000000000003</v>
      </c>
      <c r="AF11" s="6">
        <f>1+2+2+2.2+0+1.5+2+0+1+2+2+2.2+0+1.5+2+4+2+1+2+2+2.2+0+1.5+2+0+0+3</f>
        <v>41.1</v>
      </c>
      <c r="AG11" s="6">
        <f>0+350+420+412+170+6.2+0+100+0+350+420+412+170+6.2+0+2+0+0+350+420+412+170+6.2+0+360+100+3</f>
        <v>4639.5999999999995</v>
      </c>
      <c r="AH11" s="7">
        <v>3</v>
      </c>
      <c r="AI11" s="7">
        <v>1</v>
      </c>
      <c r="AJ11" s="7">
        <v>0</v>
      </c>
      <c r="AP11" s="3">
        <v>31</v>
      </c>
      <c r="AQ11" s="3">
        <v>1</v>
      </c>
      <c r="AR11" s="3">
        <v>7</v>
      </c>
      <c r="AS11" s="3">
        <v>1</v>
      </c>
      <c r="AT11" s="3">
        <v>1</v>
      </c>
      <c r="AU11" s="3">
        <v>1</v>
      </c>
      <c r="AV11" s="3">
        <v>1</v>
      </c>
      <c r="AW11" s="3">
        <v>1</v>
      </c>
    </row>
    <row r="12" spans="1:49" ht="20.100000000000001" customHeight="1" x14ac:dyDescent="0.25">
      <c r="A12" s="3" t="s">
        <v>15</v>
      </c>
      <c r="B12" s="3">
        <v>10</v>
      </c>
      <c r="C12" s="8">
        <v>44228</v>
      </c>
      <c r="D12" s="9">
        <v>0.66666666666666663</v>
      </c>
      <c r="E12" s="4">
        <v>68</v>
      </c>
      <c r="F12" s="3">
        <v>9</v>
      </c>
      <c r="G12" s="3">
        <v>5</v>
      </c>
      <c r="H12" s="3">
        <v>45</v>
      </c>
      <c r="I12" s="9">
        <v>0.32291666666666669</v>
      </c>
      <c r="J12" s="3">
        <v>140.80000000000001</v>
      </c>
      <c r="M12" s="5">
        <v>32.25</v>
      </c>
      <c r="N12" s="11">
        <v>34</v>
      </c>
      <c r="O12" s="11">
        <v>11.375</v>
      </c>
      <c r="P12" s="11">
        <v>11.375</v>
      </c>
      <c r="Q12" s="11">
        <v>21.5</v>
      </c>
      <c r="R12" s="11">
        <v>21.5</v>
      </c>
      <c r="S12" s="11">
        <v>20</v>
      </c>
      <c r="T12" s="11">
        <v>20</v>
      </c>
      <c r="U12" s="11">
        <v>22</v>
      </c>
      <c r="V12" s="11">
        <v>20</v>
      </c>
      <c r="W12" s="11">
        <v>12</v>
      </c>
      <c r="X12" s="11">
        <v>12</v>
      </c>
      <c r="Y12" s="3" t="s">
        <v>154</v>
      </c>
      <c r="Z12" s="10" t="s">
        <v>156</v>
      </c>
      <c r="AA12" s="5">
        <f>200+260+60+42+100+22.1+190+100+20+107+200+260+60+42+100+22.1+190+100+20+200+160+100</f>
        <v>2555.1999999999998</v>
      </c>
      <c r="AB12" s="6">
        <f>1+18+1+1+8+0.2+18+8+1.5+0+1+18+1+0.4+8+0.2+18+8+1.5+2+10+8</f>
        <v>132.80000000000001</v>
      </c>
      <c r="AC12" s="6">
        <f>0+5+0+0+5+0+1.5+4.5+1+0+0+5+0+0+5+0+1.5+4.5+1+0+7+4.5</f>
        <v>45.5</v>
      </c>
      <c r="AD12" s="6">
        <f>4+20+2+1+7+1.1+4+5+2+1+4+20+2+1+7+1.1+4+5+2+4+12+5</f>
        <v>114.19999999999999</v>
      </c>
      <c r="AE12" s="6">
        <f>44+5+12+10+0+4.8+4+2+0+28+44+5+12+10+0+4.8+4+2+0+42+2+2</f>
        <v>237.60000000000002</v>
      </c>
      <c r="AF12" s="6">
        <f>1+2+2+2.2+0+1.5+2+0+0+3+1+2+2+2.2+0+1.5+2+0+0+4+0+0</f>
        <v>28.4</v>
      </c>
      <c r="AG12" s="6">
        <f>0+350+420+412+170+6.2+0+360+100+3+0+350+420+412+170+6.2+0+360+100+40+380+360</f>
        <v>4419.3999999999996</v>
      </c>
      <c r="AH12" s="7">
        <v>3</v>
      </c>
      <c r="AI12" s="7">
        <v>1</v>
      </c>
      <c r="AJ12" s="7">
        <v>0</v>
      </c>
      <c r="AK12" s="10" t="s">
        <v>151</v>
      </c>
      <c r="AL12" s="3" t="s">
        <v>153</v>
      </c>
      <c r="AM12" s="3" t="s">
        <v>152</v>
      </c>
      <c r="AN12" s="7">
        <v>20</v>
      </c>
      <c r="AO12" s="3">
        <v>-5</v>
      </c>
      <c r="AP12" s="3">
        <v>31</v>
      </c>
      <c r="AQ12" s="3">
        <v>1</v>
      </c>
      <c r="AR12" s="3">
        <v>8</v>
      </c>
      <c r="AS12" s="3">
        <v>1</v>
      </c>
      <c r="AT12" s="3">
        <v>1</v>
      </c>
      <c r="AU12" s="3">
        <v>1</v>
      </c>
      <c r="AV12" s="3">
        <v>1</v>
      </c>
      <c r="AW12" s="3">
        <v>1</v>
      </c>
    </row>
    <row r="13" spans="1:49" ht="20.100000000000001" customHeight="1" x14ac:dyDescent="0.25">
      <c r="A13" s="3" t="s">
        <v>15</v>
      </c>
      <c r="B13" s="3">
        <v>10</v>
      </c>
      <c r="C13" s="8">
        <v>44228</v>
      </c>
      <c r="D13" s="9">
        <v>0.66666666666666663</v>
      </c>
      <c r="E13" s="4">
        <v>68</v>
      </c>
      <c r="F13" s="3">
        <v>9</v>
      </c>
      <c r="G13" s="3">
        <v>5</v>
      </c>
      <c r="H13" s="3">
        <v>45</v>
      </c>
      <c r="I13" s="9">
        <v>0.81597222222222221</v>
      </c>
      <c r="J13" s="3">
        <v>143</v>
      </c>
      <c r="M13" s="5">
        <v>32.5</v>
      </c>
      <c r="N13" s="11">
        <v>34</v>
      </c>
      <c r="O13" s="11">
        <v>11.25</v>
      </c>
      <c r="P13" s="11">
        <v>11.5</v>
      </c>
      <c r="Q13" s="11">
        <v>22.25</v>
      </c>
      <c r="R13" s="11">
        <v>22.5</v>
      </c>
      <c r="S13" s="11">
        <v>20</v>
      </c>
      <c r="T13" s="11">
        <v>22</v>
      </c>
      <c r="U13" s="11">
        <v>22</v>
      </c>
      <c r="V13" s="11">
        <v>20</v>
      </c>
      <c r="W13" s="11">
        <v>10</v>
      </c>
      <c r="X13" s="11">
        <v>12</v>
      </c>
      <c r="Y13" s="3" t="s">
        <v>157</v>
      </c>
      <c r="Z13" s="10" t="s">
        <v>156</v>
      </c>
      <c r="AA13" s="5">
        <f>200+260+60+42+100+22.1+190+100+20+107+200+260+60+42+100+22.1+190+100+20+200+160+100</f>
        <v>2555.1999999999998</v>
      </c>
      <c r="AB13" s="6">
        <f>1+18+1+1+8+0.2+18+8+1.5+0+1+18+1+0.4+8+0.2+18+8+1.5+2+10+8</f>
        <v>132.80000000000001</v>
      </c>
      <c r="AC13" s="6">
        <f>0+5+0+0+5+0+1.5+4.5+1+0+0+5+0+0+5+0+1.5+4.5+1+0+7+4.5</f>
        <v>45.5</v>
      </c>
      <c r="AD13" s="6">
        <f>4+20+2+1+7+1.1+4+5+2+1+4+20+2+1+7+1.1+4+5+2+4+12+5</f>
        <v>114.19999999999999</v>
      </c>
      <c r="AE13" s="6">
        <f>44+5+12+10+0+4.8+4+2+0+28+44+5+12+10+0+4.8+4+2+0+42+2+2</f>
        <v>237.60000000000002</v>
      </c>
      <c r="AF13" s="6">
        <f>1+2+2+2.2+0+1.5+2+0+0+3+1+2+2+2.2+0+1.5+2+0+0+4+0+0</f>
        <v>28.4</v>
      </c>
      <c r="AG13" s="6">
        <f>0+350+420+412+170+6.2+0+360+100+3+0+350+420+412+170+6.2+0+360+100+40+380+360</f>
        <v>4419.3999999999996</v>
      </c>
      <c r="AH13" s="7">
        <v>3</v>
      </c>
      <c r="AI13" s="7">
        <v>1</v>
      </c>
      <c r="AJ13" s="7">
        <v>0</v>
      </c>
      <c r="AK13" s="10" t="s">
        <v>151</v>
      </c>
      <c r="AL13" s="3" t="s">
        <v>153</v>
      </c>
      <c r="AM13" s="3" t="s">
        <v>152</v>
      </c>
      <c r="AN13" s="7">
        <v>20</v>
      </c>
      <c r="AO13" s="3">
        <v>-5</v>
      </c>
      <c r="AP13" s="3">
        <v>31</v>
      </c>
      <c r="AQ13" s="3">
        <v>1</v>
      </c>
      <c r="AR13" s="3">
        <v>8</v>
      </c>
      <c r="AS13" s="3">
        <v>1</v>
      </c>
      <c r="AT13" s="3">
        <v>1</v>
      </c>
      <c r="AU13" s="3">
        <v>1</v>
      </c>
      <c r="AV13" s="3">
        <v>1</v>
      </c>
      <c r="AW13" s="3">
        <v>1</v>
      </c>
    </row>
    <row r="14" spans="1:49" ht="20.100000000000001" customHeight="1" x14ac:dyDescent="0.25">
      <c r="A14" s="3" t="s">
        <v>16</v>
      </c>
      <c r="B14" s="3">
        <v>11</v>
      </c>
      <c r="C14" s="8">
        <v>44229</v>
      </c>
      <c r="D14" s="9">
        <v>0.23958333333333334</v>
      </c>
      <c r="E14" s="4">
        <v>52</v>
      </c>
      <c r="F14" s="3">
        <v>0</v>
      </c>
      <c r="G14" s="3">
        <v>0</v>
      </c>
      <c r="H14" s="3">
        <v>0</v>
      </c>
      <c r="I14" s="9">
        <v>0.23958333333333334</v>
      </c>
      <c r="J14" s="3">
        <v>140.80000000000001</v>
      </c>
      <c r="M14" s="11">
        <v>32</v>
      </c>
      <c r="N14" s="11">
        <v>34</v>
      </c>
      <c r="O14" s="11">
        <v>11.75</v>
      </c>
      <c r="P14" s="11">
        <v>11.75</v>
      </c>
      <c r="Q14" s="11">
        <v>21.5</v>
      </c>
      <c r="R14" s="11">
        <v>21.5</v>
      </c>
      <c r="S14" s="11">
        <v>22</v>
      </c>
      <c r="T14" s="11">
        <v>22</v>
      </c>
      <c r="U14" s="11">
        <v>22</v>
      </c>
      <c r="V14" s="11">
        <v>22</v>
      </c>
      <c r="W14" s="11">
        <v>12</v>
      </c>
      <c r="X14" s="11">
        <v>12</v>
      </c>
      <c r="Y14" s="3" t="s">
        <v>162</v>
      </c>
      <c r="Z14" s="10" t="s">
        <v>160</v>
      </c>
      <c r="AA14" s="5">
        <f>200+260+60+42+100+22.1+190+100+20+107+81+1440+210+180+100+200+160+100+81</f>
        <v>3653.1</v>
      </c>
      <c r="AB14" s="6">
        <f>1+18+1+0.4+8+0.2+18+8+1.5+0+0+12+15+15+0+2+10+8+0</f>
        <v>118.1</v>
      </c>
      <c r="AC14" s="6">
        <f>0+5+0+0+5+0+1.5+4.5+1+0+0+0+4.5+10.5+0+0+7+4.5+0</f>
        <v>43.5</v>
      </c>
      <c r="AD14" s="6">
        <f>4+20+2+1+7+1.1+4+5+2+1+2+12+18+3+0+4+12+5+2</f>
        <v>105.1</v>
      </c>
      <c r="AE14" s="6">
        <f>44+5+12+10+0+4.8+4+2+0+28+21+324+0+6+25+42+2+2+21</f>
        <v>552.79999999999995</v>
      </c>
      <c r="AF14" s="6">
        <f>1+2+2+2.2+0+1.5+2+0+0+3+4+6+0+0+2+4+0+0+4</f>
        <v>33.700000000000003</v>
      </c>
      <c r="AG14" s="6">
        <f>0+350+420+412+170+6.2+0+360+100+3+2+2940+210+45+0+40+380+360+2</f>
        <v>5800.2</v>
      </c>
      <c r="AH14" s="7">
        <v>3</v>
      </c>
      <c r="AI14" s="7">
        <v>1</v>
      </c>
      <c r="AJ14" s="7">
        <v>0</v>
      </c>
      <c r="AP14" s="3">
        <v>31</v>
      </c>
      <c r="AQ14" s="3">
        <v>1</v>
      </c>
      <c r="AR14" s="3">
        <v>8</v>
      </c>
      <c r="AS14" s="3">
        <v>1</v>
      </c>
      <c r="AT14" s="3">
        <v>1</v>
      </c>
      <c r="AU14" s="3">
        <v>0</v>
      </c>
      <c r="AV14" s="3">
        <v>1</v>
      </c>
      <c r="AW14" s="3">
        <v>1</v>
      </c>
    </row>
    <row r="15" spans="1:49" ht="20.100000000000001" customHeight="1" x14ac:dyDescent="0.25">
      <c r="A15" s="3" t="s">
        <v>17</v>
      </c>
      <c r="B15" s="3">
        <v>12</v>
      </c>
      <c r="C15" s="8">
        <v>44230</v>
      </c>
      <c r="D15" s="9">
        <v>0.70833333333333337</v>
      </c>
      <c r="E15" s="4">
        <v>60</v>
      </c>
      <c r="F15" s="3">
        <v>15</v>
      </c>
      <c r="G15" s="3">
        <v>3</v>
      </c>
      <c r="H15" s="3">
        <v>45</v>
      </c>
      <c r="I15" s="9">
        <v>0.25</v>
      </c>
      <c r="J15" s="3">
        <v>141.80000000000001</v>
      </c>
      <c r="M15" s="11">
        <v>32.75</v>
      </c>
      <c r="N15" s="11">
        <v>34.5</v>
      </c>
      <c r="O15" s="11">
        <v>11.5</v>
      </c>
      <c r="P15" s="11">
        <v>11.5</v>
      </c>
      <c r="Q15" s="11">
        <v>21.5</v>
      </c>
      <c r="R15" s="11">
        <v>22</v>
      </c>
      <c r="S15" s="11">
        <v>22</v>
      </c>
      <c r="T15" s="11">
        <v>22</v>
      </c>
      <c r="U15" s="11">
        <v>20</v>
      </c>
      <c r="V15" s="11">
        <v>18</v>
      </c>
      <c r="W15" s="11">
        <v>14</v>
      </c>
      <c r="X15" s="11">
        <v>12</v>
      </c>
      <c r="Y15" s="3" t="s">
        <v>165</v>
      </c>
      <c r="Z15" s="10" t="s">
        <v>166</v>
      </c>
      <c r="AA15" s="5">
        <f>200+160+200+81+322+52.8+190+140+100+80</f>
        <v>1525.8</v>
      </c>
      <c r="AB15" s="6">
        <f>2+10+16+0+29+2.31+18+10+1+5</f>
        <v>93.31</v>
      </c>
      <c r="AC15" s="6">
        <f>0+7+9+0+4+0.66+1.5+3+0+3.5</f>
        <v>28.66</v>
      </c>
      <c r="AD15" s="6">
        <f>4+12+10+2+4+0.66+4+12+2+6</f>
        <v>56.66</v>
      </c>
      <c r="AE15" s="6">
        <f>42+2+4+21+17+6.93+4+0+21+1</f>
        <v>118.93</v>
      </c>
      <c r="AF15" s="6">
        <f>4+0+2+4+18+0.66+2+0+2+0</f>
        <v>32.659999999999997</v>
      </c>
      <c r="AG15" s="6">
        <f>40+380+720+2+14+0+0+140+20+190</f>
        <v>1506</v>
      </c>
      <c r="AH15" s="7">
        <v>3</v>
      </c>
      <c r="AI15" s="7">
        <v>2</v>
      </c>
      <c r="AJ15" s="7">
        <v>0</v>
      </c>
      <c r="AK15" s="10" t="s">
        <v>163</v>
      </c>
      <c r="AL15" s="3" t="s">
        <v>164</v>
      </c>
      <c r="AN15" s="7">
        <f>5*7</f>
        <v>35</v>
      </c>
      <c r="AP15" s="3">
        <v>31</v>
      </c>
      <c r="AQ15" s="3">
        <v>1</v>
      </c>
      <c r="AR15" s="3">
        <v>8.5</v>
      </c>
      <c r="AS15" s="3">
        <v>1</v>
      </c>
      <c r="AT15" s="3">
        <v>1</v>
      </c>
      <c r="AU15" s="3">
        <v>1</v>
      </c>
      <c r="AV15" s="3">
        <v>1</v>
      </c>
      <c r="AW15" s="3">
        <v>1</v>
      </c>
    </row>
    <row r="16" spans="1:49" ht="20.100000000000001" customHeight="1" x14ac:dyDescent="0.25">
      <c r="A16" s="3" t="s">
        <v>17</v>
      </c>
      <c r="B16" s="3">
        <v>12</v>
      </c>
      <c r="C16" s="8">
        <v>44230</v>
      </c>
      <c r="D16" s="9">
        <v>0.70833333333333337</v>
      </c>
      <c r="E16" s="4">
        <v>60</v>
      </c>
      <c r="F16" s="3">
        <v>15</v>
      </c>
      <c r="G16" s="3">
        <v>3</v>
      </c>
      <c r="H16" s="3">
        <v>45</v>
      </c>
      <c r="I16" s="9">
        <v>0.83333333333333337</v>
      </c>
      <c r="J16" s="3">
        <v>144.80000000000001</v>
      </c>
      <c r="M16" s="11">
        <v>31.5</v>
      </c>
      <c r="N16" s="11">
        <v>33.5</v>
      </c>
      <c r="O16" s="11">
        <v>11.5</v>
      </c>
      <c r="P16" s="11">
        <v>11.5</v>
      </c>
      <c r="Q16" s="11">
        <v>22</v>
      </c>
      <c r="R16" s="11">
        <v>22</v>
      </c>
      <c r="S16" s="11">
        <v>22</v>
      </c>
      <c r="T16" s="11">
        <v>20</v>
      </c>
      <c r="U16" s="11">
        <v>20</v>
      </c>
      <c r="V16" s="11">
        <v>20</v>
      </c>
      <c r="W16" s="11">
        <v>10</v>
      </c>
      <c r="X16" s="11">
        <v>10</v>
      </c>
      <c r="Y16" s="3" t="s">
        <v>165</v>
      </c>
      <c r="Z16" s="10" t="s">
        <v>166</v>
      </c>
      <c r="AA16" s="5">
        <f>200+160+200+81+322+52.8+190+140+100+80</f>
        <v>1525.8</v>
      </c>
      <c r="AB16" s="6">
        <f>2+10+16+0+29+2.31+18+10+1+5</f>
        <v>93.31</v>
      </c>
      <c r="AC16" s="6">
        <f>0+7+9+0+4+0.66+1.5+3+0+3.5</f>
        <v>28.66</v>
      </c>
      <c r="AD16" s="6">
        <f>4+12+10+2+4+0.66+4+12+2+6</f>
        <v>56.66</v>
      </c>
      <c r="AE16" s="6">
        <f>42+2+4+21+17+6.93+4+0+21+1</f>
        <v>118.93</v>
      </c>
      <c r="AF16" s="6">
        <f>4+0+2+4+18+0.66+2+0+2+0</f>
        <v>32.659999999999997</v>
      </c>
      <c r="AG16" s="6">
        <f>40+380+720+2+14+0+0+140+20+190</f>
        <v>1506</v>
      </c>
      <c r="AH16" s="7">
        <v>3</v>
      </c>
      <c r="AI16" s="7">
        <v>2</v>
      </c>
      <c r="AJ16" s="7">
        <v>0</v>
      </c>
      <c r="AK16" s="10" t="s">
        <v>163</v>
      </c>
      <c r="AL16" s="3" t="s">
        <v>164</v>
      </c>
      <c r="AN16" s="7">
        <f>5*7</f>
        <v>35</v>
      </c>
      <c r="AP16" s="3">
        <v>31</v>
      </c>
      <c r="AQ16" s="3">
        <v>1</v>
      </c>
      <c r="AR16" s="3">
        <v>8.5</v>
      </c>
      <c r="AS16" s="3">
        <v>1</v>
      </c>
      <c r="AT16" s="3">
        <v>1</v>
      </c>
      <c r="AU16" s="3">
        <v>1</v>
      </c>
      <c r="AV16" s="3">
        <v>1</v>
      </c>
      <c r="AW16" s="3">
        <v>1</v>
      </c>
    </row>
    <row r="17" spans="1:49" ht="20.100000000000001" customHeight="1" x14ac:dyDescent="0.25">
      <c r="A17" s="3" t="s">
        <v>18</v>
      </c>
      <c r="B17" s="3">
        <v>13</v>
      </c>
      <c r="C17" s="8">
        <v>44231</v>
      </c>
      <c r="D17" s="9">
        <v>0.58333333333333337</v>
      </c>
      <c r="E17" s="4">
        <v>66</v>
      </c>
      <c r="F17" s="3">
        <v>0</v>
      </c>
      <c r="G17" s="3">
        <v>0</v>
      </c>
      <c r="H17" s="3">
        <v>0</v>
      </c>
      <c r="I17" s="9">
        <v>0.21527777777777779</v>
      </c>
      <c r="J17" s="3">
        <v>139.4</v>
      </c>
      <c r="M17" s="11">
        <v>31.5</v>
      </c>
      <c r="N17" s="11">
        <v>33.25</v>
      </c>
      <c r="O17" s="11">
        <v>11.5</v>
      </c>
      <c r="P17" s="11">
        <v>11.5</v>
      </c>
      <c r="Q17" s="11">
        <v>21.5</v>
      </c>
      <c r="R17" s="11">
        <v>21.5</v>
      </c>
      <c r="S17" s="11">
        <v>20</v>
      </c>
      <c r="T17" s="11">
        <v>20</v>
      </c>
      <c r="U17" s="11">
        <v>20</v>
      </c>
      <c r="V17" s="11">
        <v>20</v>
      </c>
      <c r="W17" s="11">
        <v>10</v>
      </c>
      <c r="X17" s="11">
        <v>10</v>
      </c>
      <c r="Y17" s="3" t="s">
        <v>168</v>
      </c>
      <c r="Z17" s="10" t="s">
        <v>169</v>
      </c>
      <c r="AA17" s="5">
        <f>200+160+140+300+42+200+160+100+130+243+92+105+150+160+160+322</f>
        <v>2664</v>
      </c>
      <c r="AB17" s="6">
        <f>2+10+10+0+0+2+10+8+0+0+0+1+7+10+29</f>
        <v>89</v>
      </c>
      <c r="AC17" s="6">
        <f>0+7+3+0+0+0+7+4.5+0+0+0+0+0+2+7+4</f>
        <v>34.5</v>
      </c>
      <c r="AD17" s="6">
        <f>4+12+12+0+1+4+12+5+3+6+2+1+3+2+12+4</f>
        <v>83</v>
      </c>
      <c r="AE17" s="6">
        <f>42+2+0+75+13+42+2+2+23+63+24+27+33+21+2+17</f>
        <v>388</v>
      </c>
      <c r="AF17" s="6">
        <f>4+0+0+6+2+4+0+0+2+12+2+3+2+2+0+18</f>
        <v>57</v>
      </c>
      <c r="AG17" s="6">
        <f>40+380+140+0+1+40+380+360+620+6+0+1+280+0+380+14</f>
        <v>2642</v>
      </c>
      <c r="AH17" s="7">
        <v>3</v>
      </c>
      <c r="AI17" s="7">
        <v>1</v>
      </c>
      <c r="AJ17" s="7">
        <v>0</v>
      </c>
      <c r="AP17" s="3">
        <v>31</v>
      </c>
      <c r="AQ17" s="3">
        <v>1</v>
      </c>
      <c r="AR17" s="3">
        <v>6.75</v>
      </c>
      <c r="AS17" s="3">
        <v>1</v>
      </c>
      <c r="AT17" s="3">
        <v>1</v>
      </c>
      <c r="AU17" s="3">
        <v>1</v>
      </c>
      <c r="AV17" s="3">
        <v>1</v>
      </c>
      <c r="AW17" s="3">
        <v>1</v>
      </c>
    </row>
    <row r="18" spans="1:49" ht="20.100000000000001" customHeight="1" x14ac:dyDescent="0.25">
      <c r="A18" s="3" t="s">
        <v>141</v>
      </c>
      <c r="B18" s="3">
        <v>14</v>
      </c>
      <c r="C18" s="8">
        <v>44232</v>
      </c>
      <c r="D18" s="9">
        <v>0.27083333333333331</v>
      </c>
      <c r="E18" s="4">
        <v>43</v>
      </c>
      <c r="F18" s="3">
        <v>0</v>
      </c>
      <c r="G18" s="3">
        <v>0</v>
      </c>
      <c r="H18" s="3">
        <v>0</v>
      </c>
      <c r="I18" s="9">
        <v>0.27083333333333331</v>
      </c>
      <c r="J18" s="3">
        <v>139.4</v>
      </c>
      <c r="M18" s="11">
        <v>32</v>
      </c>
      <c r="N18" s="11">
        <v>33.5</v>
      </c>
      <c r="O18" s="11">
        <v>11.5</v>
      </c>
      <c r="P18" s="11">
        <v>11.75</v>
      </c>
      <c r="Q18" s="11">
        <v>21.5</v>
      </c>
      <c r="R18" s="11">
        <v>21.5</v>
      </c>
      <c r="S18" s="11">
        <v>22</v>
      </c>
      <c r="T18" s="11">
        <v>22</v>
      </c>
      <c r="U18" s="11">
        <v>20</v>
      </c>
      <c r="V18" s="11">
        <v>20</v>
      </c>
      <c r="W18" s="11">
        <v>10</v>
      </c>
      <c r="X18" s="11">
        <v>10</v>
      </c>
      <c r="Y18" s="3" t="s">
        <v>170</v>
      </c>
      <c r="AH18" s="7">
        <v>3</v>
      </c>
      <c r="AI18" s="7">
        <v>1</v>
      </c>
      <c r="AJ18" s="7">
        <v>0</v>
      </c>
      <c r="AP18" s="3">
        <v>31</v>
      </c>
      <c r="AQ18" s="3">
        <v>1</v>
      </c>
      <c r="AR18" s="3">
        <v>6</v>
      </c>
      <c r="AS18" s="3">
        <v>1</v>
      </c>
      <c r="AT18" s="3">
        <v>1</v>
      </c>
      <c r="AU18" s="3">
        <v>1</v>
      </c>
      <c r="AV18" s="3">
        <v>1</v>
      </c>
      <c r="AW18" s="3">
        <v>1</v>
      </c>
    </row>
    <row r="19" spans="1:49" ht="20.100000000000001" customHeight="1" x14ac:dyDescent="0.25"/>
    <row r="20" spans="1:49" ht="20.100000000000001" customHeight="1" x14ac:dyDescent="0.25"/>
    <row r="21" spans="1:49" ht="20.100000000000001" customHeight="1" x14ac:dyDescent="0.25"/>
    <row r="22" spans="1:49" ht="20.100000000000001" customHeight="1" x14ac:dyDescent="0.25"/>
    <row r="23" spans="1:49" ht="20.100000000000001" customHeight="1" x14ac:dyDescent="0.25"/>
    <row r="24" spans="1:49" ht="20.100000000000001" customHeight="1" x14ac:dyDescent="0.25"/>
    <row r="25" spans="1:49" ht="20.100000000000001" customHeight="1" x14ac:dyDescent="0.25"/>
    <row r="26" spans="1:49" ht="20.100000000000001" customHeight="1" x14ac:dyDescent="0.25"/>
    <row r="27" spans="1:49" ht="20.100000000000001" customHeight="1" x14ac:dyDescent="0.25"/>
    <row r="28" spans="1:49" ht="20.100000000000001" customHeight="1" x14ac:dyDescent="0.25"/>
    <row r="29" spans="1:49" ht="20.100000000000001" customHeight="1" x14ac:dyDescent="0.25"/>
    <row r="30" spans="1:49" ht="20.100000000000001" customHeight="1" x14ac:dyDescent="0.25"/>
    <row r="31" spans="1:49" ht="20.100000000000001" customHeight="1" x14ac:dyDescent="0.25"/>
    <row r="32" spans="1:49" ht="20.100000000000001" customHeight="1" x14ac:dyDescent="0.25"/>
    <row r="33" ht="20.100000000000001" customHeight="1" x14ac:dyDescent="0.25"/>
    <row r="34" ht="20.100000000000001" customHeight="1" x14ac:dyDescent="0.25"/>
    <row r="35" ht="20.100000000000001" customHeight="1" x14ac:dyDescent="0.25"/>
    <row r="36" ht="20.100000000000001" customHeight="1" x14ac:dyDescent="0.25"/>
    <row r="37" ht="20.100000000000001" customHeight="1" x14ac:dyDescent="0.25"/>
    <row r="38" ht="20.100000000000001" customHeight="1" x14ac:dyDescent="0.25"/>
    <row r="39" ht="20.100000000000001" customHeight="1" x14ac:dyDescent="0.25"/>
    <row r="40" ht="20.100000000000001" customHeight="1" x14ac:dyDescent="0.25"/>
    <row r="41" ht="20.100000000000001" customHeight="1" x14ac:dyDescent="0.25"/>
    <row r="42" ht="20.100000000000001" customHeight="1" x14ac:dyDescent="0.25"/>
    <row r="43" ht="20.100000000000001" customHeight="1" x14ac:dyDescent="0.25"/>
    <row r="44" ht="20.100000000000001" customHeight="1" x14ac:dyDescent="0.25"/>
    <row r="45" ht="20.100000000000001" customHeight="1" x14ac:dyDescent="0.25"/>
    <row r="46" ht="20.100000000000001" customHeight="1" x14ac:dyDescent="0.25"/>
    <row r="47" ht="20.100000000000001" customHeight="1" x14ac:dyDescent="0.25"/>
    <row r="48"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70"/>
  <sheetViews>
    <sheetView workbookViewId="0">
      <pane ySplit="1" topLeftCell="A2" activePane="bottomLeft" state="frozen"/>
      <selection pane="bottomLeft" activeCell="B4" sqref="B4:H4"/>
    </sheetView>
  </sheetViews>
  <sheetFormatPr defaultRowHeight="15" x14ac:dyDescent="0.25"/>
  <cols>
    <col min="1" max="1" width="43.85546875" customWidth="1"/>
    <col min="4" max="4" width="19.140625" customWidth="1"/>
    <col min="5" max="6" width="16.140625" customWidth="1"/>
    <col min="7" max="7" width="17.28515625" customWidth="1"/>
  </cols>
  <sheetData>
    <row r="1" spans="1:8" x14ac:dyDescent="0.25">
      <c r="A1" t="s">
        <v>35</v>
      </c>
      <c r="B1" s="1" t="s">
        <v>34</v>
      </c>
      <c r="C1" s="2" t="s">
        <v>26</v>
      </c>
      <c r="D1" s="2" t="s">
        <v>27</v>
      </c>
      <c r="E1" s="2" t="s">
        <v>28</v>
      </c>
      <c r="F1" s="2" t="s">
        <v>91</v>
      </c>
      <c r="G1" s="2" t="s">
        <v>30</v>
      </c>
      <c r="H1" s="2" t="s">
        <v>33</v>
      </c>
    </row>
    <row r="2" spans="1:8" x14ac:dyDescent="0.25">
      <c r="A2" t="s">
        <v>36</v>
      </c>
      <c r="B2">
        <v>180</v>
      </c>
      <c r="C2">
        <v>2</v>
      </c>
      <c r="D2">
        <v>0</v>
      </c>
      <c r="E2">
        <v>6</v>
      </c>
      <c r="F2">
        <v>32</v>
      </c>
      <c r="G2">
        <v>2</v>
      </c>
      <c r="H2">
        <v>380</v>
      </c>
    </row>
    <row r="3" spans="1:8" x14ac:dyDescent="0.25">
      <c r="A3" t="s">
        <v>37</v>
      </c>
      <c r="B3">
        <v>140</v>
      </c>
      <c r="C3">
        <v>10</v>
      </c>
      <c r="D3">
        <v>3</v>
      </c>
      <c r="E3">
        <v>12</v>
      </c>
      <c r="F3">
        <v>0</v>
      </c>
      <c r="G3">
        <v>0</v>
      </c>
      <c r="H3">
        <v>140</v>
      </c>
    </row>
    <row r="4" spans="1:8" x14ac:dyDescent="0.25">
      <c r="A4" t="s">
        <v>38</v>
      </c>
      <c r="B4">
        <v>92</v>
      </c>
      <c r="C4">
        <v>0</v>
      </c>
      <c r="D4">
        <v>0</v>
      </c>
      <c r="E4">
        <v>2</v>
      </c>
      <c r="F4">
        <v>24</v>
      </c>
      <c r="G4">
        <v>2</v>
      </c>
      <c r="H4">
        <v>0</v>
      </c>
    </row>
    <row r="5" spans="1:8" x14ac:dyDescent="0.25">
      <c r="A5" t="s">
        <v>40</v>
      </c>
      <c r="B5">
        <v>120</v>
      </c>
      <c r="C5">
        <v>3</v>
      </c>
      <c r="D5">
        <v>2</v>
      </c>
      <c r="E5">
        <v>6</v>
      </c>
      <c r="F5">
        <v>19</v>
      </c>
      <c r="G5">
        <v>2</v>
      </c>
      <c r="H5">
        <v>330</v>
      </c>
    </row>
    <row r="6" spans="1:8" x14ac:dyDescent="0.25">
      <c r="A6" t="s">
        <v>39</v>
      </c>
      <c r="B6">
        <v>60</v>
      </c>
      <c r="C6">
        <v>5</v>
      </c>
      <c r="D6">
        <v>3.5</v>
      </c>
      <c r="E6">
        <v>1</v>
      </c>
      <c r="F6">
        <v>2</v>
      </c>
      <c r="G6">
        <v>0</v>
      </c>
      <c r="H6">
        <v>15</v>
      </c>
    </row>
    <row r="7" spans="1:8" x14ac:dyDescent="0.25">
      <c r="A7" t="s">
        <v>41</v>
      </c>
      <c r="B7">
        <v>81</v>
      </c>
      <c r="C7">
        <v>0</v>
      </c>
      <c r="D7">
        <v>0</v>
      </c>
      <c r="E7">
        <v>2</v>
      </c>
      <c r="F7">
        <v>21</v>
      </c>
      <c r="G7">
        <v>4</v>
      </c>
      <c r="H7">
        <v>2</v>
      </c>
    </row>
    <row r="8" spans="1:8" x14ac:dyDescent="0.25">
      <c r="A8" t="s">
        <v>42</v>
      </c>
      <c r="B8">
        <v>15</v>
      </c>
      <c r="C8">
        <v>0</v>
      </c>
      <c r="D8">
        <v>0</v>
      </c>
      <c r="E8">
        <v>1</v>
      </c>
      <c r="F8">
        <v>3</v>
      </c>
      <c r="G8">
        <v>1</v>
      </c>
      <c r="H8">
        <v>290</v>
      </c>
    </row>
    <row r="9" spans="1:8" x14ac:dyDescent="0.25">
      <c r="A9" t="s">
        <v>43</v>
      </c>
      <c r="B9">
        <v>280</v>
      </c>
      <c r="C9">
        <v>7</v>
      </c>
      <c r="D9">
        <v>1</v>
      </c>
      <c r="E9">
        <v>8</v>
      </c>
      <c r="F9">
        <v>42</v>
      </c>
      <c r="G9">
        <v>8</v>
      </c>
      <c r="H9">
        <v>360</v>
      </c>
    </row>
    <row r="10" spans="1:8" x14ac:dyDescent="0.25">
      <c r="A10" t="s">
        <v>58</v>
      </c>
      <c r="B10">
        <v>210</v>
      </c>
      <c r="C10">
        <v>5.25</v>
      </c>
      <c r="D10">
        <v>0.75</v>
      </c>
      <c r="E10">
        <v>6</v>
      </c>
      <c r="F10">
        <v>31.5</v>
      </c>
      <c r="G10">
        <v>6</v>
      </c>
      <c r="H10">
        <v>270</v>
      </c>
    </row>
    <row r="11" spans="1:8" x14ac:dyDescent="0.25">
      <c r="A11" t="s">
        <v>59</v>
      </c>
      <c r="B11">
        <v>140</v>
      </c>
      <c r="C11">
        <v>3.5</v>
      </c>
      <c r="D11">
        <v>0.5</v>
      </c>
      <c r="E11">
        <v>4</v>
      </c>
      <c r="F11">
        <v>21</v>
      </c>
      <c r="G11">
        <v>4</v>
      </c>
      <c r="H11">
        <v>180</v>
      </c>
    </row>
    <row r="12" spans="1:8" x14ac:dyDescent="0.25">
      <c r="A12" t="s">
        <v>44</v>
      </c>
      <c r="B12">
        <v>161</v>
      </c>
      <c r="C12">
        <v>14.5</v>
      </c>
      <c r="D12">
        <v>2</v>
      </c>
      <c r="E12">
        <v>2</v>
      </c>
      <c r="F12">
        <v>8.5</v>
      </c>
      <c r="G12">
        <v>6.5</v>
      </c>
      <c r="H12">
        <v>7</v>
      </c>
    </row>
    <row r="13" spans="1:8" x14ac:dyDescent="0.25">
      <c r="A13" t="s">
        <v>54</v>
      </c>
      <c r="B13">
        <v>322</v>
      </c>
      <c r="C13">
        <v>29</v>
      </c>
      <c r="D13">
        <v>4</v>
      </c>
      <c r="E13">
        <v>4</v>
      </c>
      <c r="F13">
        <v>17</v>
      </c>
      <c r="G13">
        <v>18</v>
      </c>
      <c r="H13">
        <v>14</v>
      </c>
    </row>
    <row r="14" spans="1:8" x14ac:dyDescent="0.25">
      <c r="A14" t="s">
        <v>45</v>
      </c>
      <c r="B14">
        <v>150</v>
      </c>
      <c r="C14">
        <v>0</v>
      </c>
      <c r="D14">
        <v>0</v>
      </c>
      <c r="E14">
        <v>3</v>
      </c>
      <c r="F14">
        <v>14</v>
      </c>
      <c r="G14">
        <v>3</v>
      </c>
      <c r="H14">
        <v>30</v>
      </c>
    </row>
    <row r="15" spans="1:8" x14ac:dyDescent="0.25">
      <c r="A15" t="s">
        <v>47</v>
      </c>
      <c r="B15">
        <v>100</v>
      </c>
      <c r="C15">
        <v>0</v>
      </c>
      <c r="D15">
        <v>0</v>
      </c>
      <c r="E15">
        <v>2</v>
      </c>
      <c r="F15">
        <v>9</v>
      </c>
      <c r="G15">
        <v>2</v>
      </c>
      <c r="H15">
        <v>20</v>
      </c>
    </row>
    <row r="16" spans="1:8" x14ac:dyDescent="0.25">
      <c r="A16" t="s">
        <v>46</v>
      </c>
      <c r="B16">
        <v>130</v>
      </c>
      <c r="C16">
        <v>3</v>
      </c>
      <c r="D16">
        <v>2</v>
      </c>
      <c r="E16">
        <v>0</v>
      </c>
      <c r="F16">
        <v>19</v>
      </c>
      <c r="G16">
        <v>3</v>
      </c>
      <c r="H16">
        <v>670</v>
      </c>
    </row>
    <row r="17" spans="1:8" x14ac:dyDescent="0.25">
      <c r="A17" t="s">
        <v>48</v>
      </c>
      <c r="B17">
        <v>80</v>
      </c>
      <c r="C17">
        <v>5</v>
      </c>
      <c r="D17">
        <v>3.5</v>
      </c>
      <c r="E17">
        <v>6</v>
      </c>
      <c r="F17">
        <v>1</v>
      </c>
      <c r="G17">
        <v>0</v>
      </c>
      <c r="H17">
        <v>190</v>
      </c>
    </row>
    <row r="18" spans="1:8" x14ac:dyDescent="0.25">
      <c r="A18" t="s">
        <v>50</v>
      </c>
      <c r="B18">
        <v>290</v>
      </c>
      <c r="C18">
        <v>12</v>
      </c>
      <c r="D18">
        <v>6</v>
      </c>
      <c r="E18">
        <v>7</v>
      </c>
      <c r="F18">
        <v>39</v>
      </c>
      <c r="G18">
        <v>3</v>
      </c>
      <c r="H18">
        <v>1150</v>
      </c>
    </row>
    <row r="19" spans="1:8" x14ac:dyDescent="0.25">
      <c r="A19" t="s">
        <v>51</v>
      </c>
      <c r="B19">
        <v>60</v>
      </c>
      <c r="C19">
        <v>0.5</v>
      </c>
      <c r="D19">
        <v>0</v>
      </c>
      <c r="E19">
        <v>2</v>
      </c>
      <c r="F19">
        <v>11</v>
      </c>
      <c r="G19">
        <v>7</v>
      </c>
      <c r="H19">
        <v>0</v>
      </c>
    </row>
    <row r="20" spans="1:8" x14ac:dyDescent="0.25">
      <c r="A20" t="s">
        <v>52</v>
      </c>
      <c r="B20">
        <v>42</v>
      </c>
      <c r="C20">
        <v>0</v>
      </c>
      <c r="D20">
        <v>0</v>
      </c>
      <c r="E20">
        <v>1</v>
      </c>
      <c r="F20">
        <v>13</v>
      </c>
      <c r="G20">
        <v>2</v>
      </c>
      <c r="H20">
        <v>1</v>
      </c>
    </row>
    <row r="21" spans="1:8" x14ac:dyDescent="0.25">
      <c r="A21" t="s">
        <v>53</v>
      </c>
      <c r="B21">
        <v>120</v>
      </c>
      <c r="C21">
        <v>3</v>
      </c>
      <c r="D21">
        <v>2</v>
      </c>
      <c r="E21">
        <v>6</v>
      </c>
      <c r="F21">
        <v>19</v>
      </c>
      <c r="G21">
        <v>2</v>
      </c>
      <c r="H21">
        <v>330</v>
      </c>
    </row>
    <row r="22" spans="1:8" x14ac:dyDescent="0.25">
      <c r="A22" t="s">
        <v>55</v>
      </c>
      <c r="B22">
        <v>8.5</v>
      </c>
      <c r="C22">
        <v>0</v>
      </c>
      <c r="D22">
        <v>0</v>
      </c>
      <c r="E22">
        <v>0</v>
      </c>
      <c r="F22">
        <v>36</v>
      </c>
      <c r="G22">
        <v>0</v>
      </c>
      <c r="H22">
        <v>1</v>
      </c>
    </row>
    <row r="23" spans="1:8" x14ac:dyDescent="0.25">
      <c r="A23" t="s">
        <v>56</v>
      </c>
      <c r="B23">
        <v>25</v>
      </c>
      <c r="C23">
        <v>0</v>
      </c>
      <c r="D23">
        <v>0</v>
      </c>
      <c r="E23">
        <v>0</v>
      </c>
      <c r="F23">
        <v>6</v>
      </c>
      <c r="G23">
        <v>1</v>
      </c>
      <c r="H23">
        <v>0</v>
      </c>
    </row>
    <row r="24" spans="1:8" x14ac:dyDescent="0.25">
      <c r="A24" t="s">
        <v>57</v>
      </c>
      <c r="B24">
        <v>8</v>
      </c>
      <c r="C24">
        <v>0.6</v>
      </c>
      <c r="D24">
        <v>0</v>
      </c>
      <c r="E24">
        <v>0.25</v>
      </c>
      <c r="F24">
        <v>0.25</v>
      </c>
      <c r="G24">
        <v>0.25</v>
      </c>
      <c r="H24">
        <v>40</v>
      </c>
    </row>
    <row r="25" spans="1:8" x14ac:dyDescent="0.25">
      <c r="A25" t="s">
        <v>60</v>
      </c>
      <c r="B25">
        <v>57</v>
      </c>
      <c r="C25">
        <v>0</v>
      </c>
      <c r="D25">
        <v>0</v>
      </c>
      <c r="E25">
        <v>0</v>
      </c>
      <c r="F25">
        <v>15</v>
      </c>
      <c r="G25">
        <v>3</v>
      </c>
      <c r="H25">
        <v>1</v>
      </c>
    </row>
    <row r="26" spans="1:8" x14ac:dyDescent="0.25">
      <c r="A26" t="s">
        <v>61</v>
      </c>
      <c r="B26">
        <v>30</v>
      </c>
      <c r="C26">
        <v>0</v>
      </c>
      <c r="D26">
        <v>0</v>
      </c>
      <c r="E26">
        <v>0</v>
      </c>
      <c r="F26">
        <v>8</v>
      </c>
      <c r="G26">
        <v>1</v>
      </c>
      <c r="H26">
        <v>150</v>
      </c>
    </row>
    <row r="27" spans="1:8" x14ac:dyDescent="0.25">
      <c r="A27" t="s">
        <v>62</v>
      </c>
      <c r="B27">
        <v>70</v>
      </c>
      <c r="C27">
        <v>5</v>
      </c>
      <c r="D27">
        <v>3</v>
      </c>
      <c r="E27">
        <v>4</v>
      </c>
      <c r="F27">
        <v>1</v>
      </c>
      <c r="G27">
        <v>0</v>
      </c>
      <c r="H27">
        <v>250</v>
      </c>
    </row>
    <row r="28" spans="1:8" x14ac:dyDescent="0.25">
      <c r="A28" t="s">
        <v>63</v>
      </c>
      <c r="B28">
        <v>270</v>
      </c>
      <c r="C28">
        <v>7</v>
      </c>
      <c r="D28">
        <v>1</v>
      </c>
      <c r="E28">
        <v>6</v>
      </c>
      <c r="F28">
        <v>46</v>
      </c>
      <c r="G28">
        <v>3</v>
      </c>
      <c r="H28">
        <v>55</v>
      </c>
    </row>
    <row r="29" spans="1:8" x14ac:dyDescent="0.25">
      <c r="A29" t="s">
        <v>64</v>
      </c>
      <c r="B29">
        <v>25</v>
      </c>
      <c r="C29">
        <v>0</v>
      </c>
      <c r="D29">
        <v>0</v>
      </c>
      <c r="E29">
        <v>0</v>
      </c>
      <c r="F29">
        <v>6</v>
      </c>
      <c r="G29">
        <v>1</v>
      </c>
      <c r="H29">
        <v>0</v>
      </c>
    </row>
    <row r="30" spans="1:8" x14ac:dyDescent="0.25">
      <c r="A30" t="s">
        <v>65</v>
      </c>
      <c r="B30">
        <v>150</v>
      </c>
      <c r="C30">
        <v>8</v>
      </c>
      <c r="D30">
        <v>1</v>
      </c>
      <c r="E30">
        <v>2</v>
      </c>
      <c r="F30">
        <v>17</v>
      </c>
      <c r="G30">
        <v>1</v>
      </c>
      <c r="H30">
        <v>170</v>
      </c>
    </row>
    <row r="31" spans="1:8" x14ac:dyDescent="0.25">
      <c r="A31" t="s">
        <v>66</v>
      </c>
      <c r="B31">
        <f>SUM(B32:B35)</f>
        <v>528</v>
      </c>
      <c r="C31">
        <f>SUM(C32:C35)</f>
        <v>19.34</v>
      </c>
      <c r="D31">
        <f t="shared" ref="D31:G31" si="0">SUM(D32:D35)</f>
        <v>5.04</v>
      </c>
      <c r="E31">
        <f t="shared" si="0"/>
        <v>28</v>
      </c>
      <c r="F31">
        <f>SUM(F32:F35)</f>
        <v>62</v>
      </c>
      <c r="G31">
        <f t="shared" si="0"/>
        <v>7</v>
      </c>
      <c r="H31">
        <f>SUM(H32:H35)</f>
        <v>385.03</v>
      </c>
    </row>
    <row r="32" spans="1:8" x14ac:dyDescent="0.25">
      <c r="A32" t="s">
        <v>67</v>
      </c>
      <c r="B32">
        <v>200</v>
      </c>
      <c r="C32">
        <v>1</v>
      </c>
      <c r="D32">
        <v>0</v>
      </c>
      <c r="E32">
        <v>4</v>
      </c>
      <c r="F32">
        <v>44</v>
      </c>
      <c r="G32">
        <v>1</v>
      </c>
      <c r="H32">
        <v>0</v>
      </c>
    </row>
    <row r="33" spans="1:8" x14ac:dyDescent="0.25">
      <c r="A33" t="s">
        <v>113</v>
      </c>
      <c r="B33">
        <v>260</v>
      </c>
      <c r="C33">
        <v>18</v>
      </c>
      <c r="D33">
        <v>5</v>
      </c>
      <c r="E33">
        <v>20</v>
      </c>
      <c r="F33">
        <v>5</v>
      </c>
      <c r="G33">
        <v>2</v>
      </c>
      <c r="H33">
        <v>350</v>
      </c>
    </row>
    <row r="34" spans="1:8" x14ac:dyDescent="0.25">
      <c r="A34" t="s">
        <v>68</v>
      </c>
      <c r="B34">
        <v>31</v>
      </c>
      <c r="C34">
        <v>0.34</v>
      </c>
      <c r="D34">
        <v>0.04</v>
      </c>
      <c r="E34">
        <v>3</v>
      </c>
      <c r="F34">
        <v>6</v>
      </c>
      <c r="G34">
        <v>2</v>
      </c>
      <c r="H34">
        <v>30.03</v>
      </c>
    </row>
    <row r="35" spans="1:8" x14ac:dyDescent="0.25">
      <c r="A35" t="s">
        <v>69</v>
      </c>
      <c r="B35">
        <v>37</v>
      </c>
      <c r="C35">
        <v>0</v>
      </c>
      <c r="D35">
        <v>0</v>
      </c>
      <c r="E35">
        <v>1</v>
      </c>
      <c r="F35">
        <v>7</v>
      </c>
      <c r="G35">
        <v>2</v>
      </c>
      <c r="H35">
        <v>5</v>
      </c>
    </row>
    <row r="36" spans="1:8" x14ac:dyDescent="0.25">
      <c r="A36" t="s">
        <v>119</v>
      </c>
      <c r="B36">
        <v>40</v>
      </c>
      <c r="C36">
        <v>0</v>
      </c>
      <c r="D36">
        <v>0</v>
      </c>
      <c r="E36">
        <v>1</v>
      </c>
      <c r="F36">
        <v>10</v>
      </c>
      <c r="G36">
        <v>3</v>
      </c>
      <c r="H36">
        <v>0</v>
      </c>
    </row>
    <row r="37" spans="1:8" x14ac:dyDescent="0.25">
      <c r="A37" t="s">
        <v>70</v>
      </c>
      <c r="B37">
        <v>105</v>
      </c>
      <c r="C37">
        <v>0</v>
      </c>
      <c r="D37">
        <v>0</v>
      </c>
      <c r="E37">
        <v>1</v>
      </c>
      <c r="F37">
        <v>27</v>
      </c>
      <c r="G37">
        <v>3</v>
      </c>
      <c r="H37">
        <v>1</v>
      </c>
    </row>
    <row r="38" spans="1:8" x14ac:dyDescent="0.25">
      <c r="A38" t="s">
        <v>71</v>
      </c>
      <c r="B38">
        <f>SUM(B39:B41)+SUM(B34:B35)</f>
        <v>528</v>
      </c>
      <c r="C38">
        <f t="shared" ref="C38:H38" si="1">SUM(C39:C41)+SUM(C34:C35)</f>
        <v>17.84</v>
      </c>
      <c r="D38">
        <f t="shared" si="1"/>
        <v>7.04</v>
      </c>
      <c r="E38">
        <f>SUM(E39:E41)+SUM(E34:E35)</f>
        <v>47</v>
      </c>
      <c r="F38">
        <f>SUM(F39:F41)+SUM(F34:F35)</f>
        <v>57</v>
      </c>
      <c r="G38">
        <f t="shared" si="1"/>
        <v>22</v>
      </c>
      <c r="H38">
        <f t="shared" si="1"/>
        <v>1025.03</v>
      </c>
    </row>
    <row r="39" spans="1:8" x14ac:dyDescent="0.25">
      <c r="A39" t="s">
        <v>72</v>
      </c>
      <c r="B39">
        <v>180</v>
      </c>
      <c r="C39">
        <v>3.5</v>
      </c>
      <c r="D39">
        <v>0</v>
      </c>
      <c r="E39">
        <v>24</v>
      </c>
      <c r="F39">
        <v>20</v>
      </c>
      <c r="G39">
        <v>13</v>
      </c>
      <c r="H39">
        <v>0</v>
      </c>
    </row>
    <row r="40" spans="1:8" x14ac:dyDescent="0.25">
      <c r="A40" t="s">
        <v>73</v>
      </c>
      <c r="B40">
        <v>220</v>
      </c>
      <c r="C40">
        <v>13</v>
      </c>
      <c r="D40">
        <v>7</v>
      </c>
      <c r="E40">
        <v>17</v>
      </c>
      <c r="F40">
        <v>12</v>
      </c>
      <c r="G40">
        <v>3</v>
      </c>
      <c r="H40">
        <v>570</v>
      </c>
    </row>
    <row r="41" spans="1:8" x14ac:dyDescent="0.25">
      <c r="A41" t="s">
        <v>74</v>
      </c>
      <c r="B41">
        <v>60</v>
      </c>
      <c r="C41">
        <v>1</v>
      </c>
      <c r="D41">
        <v>0</v>
      </c>
      <c r="E41">
        <v>2</v>
      </c>
      <c r="F41">
        <v>12</v>
      </c>
      <c r="G41">
        <v>2</v>
      </c>
      <c r="H41">
        <v>420</v>
      </c>
    </row>
    <row r="42" spans="1:8" x14ac:dyDescent="0.25">
      <c r="A42" t="s">
        <v>76</v>
      </c>
      <c r="B42">
        <v>104</v>
      </c>
      <c r="C42">
        <v>0</v>
      </c>
      <c r="D42">
        <v>0</v>
      </c>
      <c r="E42">
        <v>1</v>
      </c>
      <c r="F42">
        <v>27</v>
      </c>
      <c r="G42">
        <v>1</v>
      </c>
      <c r="H42">
        <v>3</v>
      </c>
    </row>
    <row r="43" spans="1:8" x14ac:dyDescent="0.25">
      <c r="A43" t="s">
        <v>77</v>
      </c>
      <c r="B43">
        <v>90</v>
      </c>
      <c r="C43">
        <v>3.5</v>
      </c>
      <c r="D43">
        <v>1</v>
      </c>
      <c r="E43">
        <v>3</v>
      </c>
      <c r="F43">
        <v>12</v>
      </c>
      <c r="G43">
        <v>3</v>
      </c>
      <c r="H43">
        <v>460</v>
      </c>
    </row>
    <row r="44" spans="1:8" x14ac:dyDescent="0.25">
      <c r="A44" t="s">
        <v>118</v>
      </c>
      <c r="B44">
        <v>20</v>
      </c>
      <c r="C44">
        <v>1.5</v>
      </c>
      <c r="D44">
        <v>1</v>
      </c>
      <c r="E44">
        <v>2</v>
      </c>
      <c r="F44">
        <v>0</v>
      </c>
      <c r="G44">
        <v>0</v>
      </c>
      <c r="H44">
        <v>100</v>
      </c>
    </row>
    <row r="45" spans="1:8" x14ac:dyDescent="0.25">
      <c r="A45" t="s">
        <v>78</v>
      </c>
      <c r="B45">
        <v>120</v>
      </c>
      <c r="C45">
        <v>14</v>
      </c>
      <c r="D45">
        <v>2</v>
      </c>
      <c r="E45">
        <v>0</v>
      </c>
      <c r="F45">
        <v>0</v>
      </c>
      <c r="G45">
        <v>0</v>
      </c>
      <c r="H45">
        <v>0</v>
      </c>
    </row>
    <row r="46" spans="1:8" x14ac:dyDescent="0.25">
      <c r="A46" t="s">
        <v>79</v>
      </c>
      <c r="B46">
        <v>190</v>
      </c>
      <c r="C46">
        <v>0</v>
      </c>
      <c r="D46">
        <v>0</v>
      </c>
      <c r="E46">
        <v>6</v>
      </c>
      <c r="F46">
        <v>41</v>
      </c>
      <c r="G46">
        <v>7</v>
      </c>
      <c r="H46">
        <v>1450</v>
      </c>
    </row>
    <row r="47" spans="1:8" x14ac:dyDescent="0.25">
      <c r="A47" t="s">
        <v>80</v>
      </c>
      <c r="B47">
        <v>107</v>
      </c>
      <c r="C47">
        <v>0</v>
      </c>
      <c r="D47">
        <v>0</v>
      </c>
      <c r="E47">
        <v>1</v>
      </c>
      <c r="F47">
        <v>28</v>
      </c>
      <c r="G47">
        <v>3</v>
      </c>
      <c r="H47">
        <v>3</v>
      </c>
    </row>
    <row r="48" spans="1:8" x14ac:dyDescent="0.25">
      <c r="A48" t="s">
        <v>81</v>
      </c>
      <c r="B48">
        <v>140</v>
      </c>
      <c r="C48">
        <v>7</v>
      </c>
      <c r="D48">
        <v>5</v>
      </c>
      <c r="E48">
        <v>2</v>
      </c>
      <c r="F48">
        <v>18</v>
      </c>
      <c r="G48">
        <v>2</v>
      </c>
      <c r="H48">
        <v>90</v>
      </c>
    </row>
    <row r="49" spans="1:8" x14ac:dyDescent="0.25">
      <c r="A49" t="s">
        <v>82</v>
      </c>
      <c r="B49">
        <v>200</v>
      </c>
      <c r="C49">
        <v>9</v>
      </c>
      <c r="D49">
        <v>9</v>
      </c>
      <c r="E49">
        <v>12</v>
      </c>
      <c r="F49">
        <v>1</v>
      </c>
      <c r="G49">
        <v>0</v>
      </c>
      <c r="H49">
        <v>340</v>
      </c>
    </row>
    <row r="50" spans="1:8" x14ac:dyDescent="0.25">
      <c r="A50" t="s">
        <v>83</v>
      </c>
      <c r="B50">
        <v>340</v>
      </c>
      <c r="C50">
        <v>5</v>
      </c>
      <c r="D50">
        <v>0</v>
      </c>
      <c r="E50">
        <v>17</v>
      </c>
      <c r="F50">
        <v>57</v>
      </c>
      <c r="G50">
        <v>16</v>
      </c>
      <c r="H50">
        <v>1670</v>
      </c>
    </row>
    <row r="51" spans="1:8" x14ac:dyDescent="0.25">
      <c r="A51" t="s">
        <v>84</v>
      </c>
      <c r="B51">
        <v>150</v>
      </c>
      <c r="C51">
        <v>1</v>
      </c>
      <c r="D51">
        <v>0</v>
      </c>
      <c r="E51">
        <v>3</v>
      </c>
      <c r="F51">
        <v>33</v>
      </c>
      <c r="G51">
        <v>2</v>
      </c>
      <c r="H51">
        <v>280</v>
      </c>
    </row>
    <row r="52" spans="1:8" x14ac:dyDescent="0.25">
      <c r="A52" t="s">
        <v>93</v>
      </c>
      <c r="B52">
        <v>100</v>
      </c>
      <c r="C52">
        <v>1</v>
      </c>
      <c r="D52">
        <v>0</v>
      </c>
      <c r="E52">
        <v>2</v>
      </c>
      <c r="F52">
        <v>21</v>
      </c>
      <c r="G52">
        <v>2</v>
      </c>
      <c r="H52">
        <v>20</v>
      </c>
    </row>
    <row r="53" spans="1:8" x14ac:dyDescent="0.25">
      <c r="A53" t="s">
        <v>109</v>
      </c>
      <c r="B53">
        <v>200</v>
      </c>
      <c r="C53">
        <v>13</v>
      </c>
      <c r="D53">
        <v>12</v>
      </c>
      <c r="E53">
        <v>2</v>
      </c>
      <c r="F53">
        <v>22</v>
      </c>
      <c r="G53">
        <v>2</v>
      </c>
      <c r="H53">
        <v>20</v>
      </c>
    </row>
    <row r="54" spans="1:8" x14ac:dyDescent="0.25">
      <c r="A54" t="s">
        <v>111</v>
      </c>
      <c r="B54">
        <v>160</v>
      </c>
      <c r="C54">
        <v>7</v>
      </c>
      <c r="D54">
        <v>2</v>
      </c>
      <c r="E54">
        <v>2</v>
      </c>
      <c r="F54">
        <v>21</v>
      </c>
      <c r="G54">
        <v>2</v>
      </c>
      <c r="H54">
        <v>0</v>
      </c>
    </row>
    <row r="55" spans="1:8" x14ac:dyDescent="0.25">
      <c r="A55" t="s">
        <v>112</v>
      </c>
      <c r="B55">
        <f>0.66*160</f>
        <v>105.60000000000001</v>
      </c>
      <c r="C55">
        <f>0.66*7</f>
        <v>4.62</v>
      </c>
      <c r="D55">
        <f>0.66*2</f>
        <v>1.32</v>
      </c>
      <c r="E55">
        <f>0.66*2</f>
        <v>1.32</v>
      </c>
      <c r="F55">
        <f>0.66*21</f>
        <v>13.860000000000001</v>
      </c>
      <c r="G55">
        <f>0.66*2</f>
        <v>1.32</v>
      </c>
      <c r="H55">
        <v>0</v>
      </c>
    </row>
    <row r="56" spans="1:8" x14ac:dyDescent="0.25">
      <c r="A56" t="s">
        <v>114</v>
      </c>
      <c r="B56">
        <v>330</v>
      </c>
      <c r="C56">
        <v>2.5</v>
      </c>
      <c r="D56">
        <v>0.5</v>
      </c>
      <c r="E56">
        <v>23</v>
      </c>
      <c r="F56">
        <v>61</v>
      </c>
      <c r="G56">
        <v>11</v>
      </c>
      <c r="H56">
        <v>0</v>
      </c>
    </row>
    <row r="57" spans="1:8" x14ac:dyDescent="0.25">
      <c r="A57" t="s">
        <v>115</v>
      </c>
      <c r="B57">
        <v>90</v>
      </c>
      <c r="C57">
        <v>2</v>
      </c>
      <c r="D57">
        <v>2</v>
      </c>
      <c r="E57">
        <v>3</v>
      </c>
      <c r="F57">
        <v>18</v>
      </c>
      <c r="G57">
        <v>4</v>
      </c>
      <c r="H57">
        <v>500</v>
      </c>
    </row>
    <row r="58" spans="1:8" x14ac:dyDescent="0.25">
      <c r="A58" t="s">
        <v>123</v>
      </c>
      <c r="B58">
        <v>123</v>
      </c>
      <c r="C58">
        <v>0</v>
      </c>
      <c r="D58">
        <v>0</v>
      </c>
      <c r="E58">
        <v>0</v>
      </c>
      <c r="F58">
        <v>4</v>
      </c>
      <c r="G58">
        <v>0</v>
      </c>
      <c r="H58">
        <v>6</v>
      </c>
    </row>
    <row r="59" spans="1:8" x14ac:dyDescent="0.25">
      <c r="A59" t="s">
        <v>127</v>
      </c>
      <c r="B59">
        <f>123*5</f>
        <v>615</v>
      </c>
      <c r="C59">
        <v>0</v>
      </c>
      <c r="D59">
        <v>0</v>
      </c>
      <c r="E59">
        <v>0</v>
      </c>
      <c r="F59">
        <f>4*5</f>
        <v>20</v>
      </c>
      <c r="G59">
        <v>0</v>
      </c>
      <c r="H59">
        <f>6*5</f>
        <v>30</v>
      </c>
    </row>
    <row r="60" spans="1:8" x14ac:dyDescent="0.25">
      <c r="A60" t="s">
        <v>125</v>
      </c>
      <c r="B60">
        <v>100</v>
      </c>
      <c r="C60">
        <v>0</v>
      </c>
      <c r="D60">
        <v>0</v>
      </c>
      <c r="E60">
        <v>0</v>
      </c>
      <c r="F60">
        <v>25</v>
      </c>
      <c r="G60">
        <v>2</v>
      </c>
      <c r="H60">
        <v>0</v>
      </c>
    </row>
    <row r="61" spans="1:8" x14ac:dyDescent="0.25">
      <c r="A61" t="s">
        <v>126</v>
      </c>
      <c r="B61">
        <v>200</v>
      </c>
      <c r="C61">
        <v>0</v>
      </c>
      <c r="D61">
        <v>0</v>
      </c>
      <c r="E61">
        <v>0</v>
      </c>
      <c r="F61">
        <v>50</v>
      </c>
      <c r="G61">
        <v>4</v>
      </c>
      <c r="H61">
        <v>0</v>
      </c>
    </row>
    <row r="62" spans="1:8" x14ac:dyDescent="0.25">
      <c r="A62" t="s">
        <v>137</v>
      </c>
      <c r="B62">
        <v>42</v>
      </c>
      <c r="C62">
        <v>0.4</v>
      </c>
      <c r="D62">
        <v>0</v>
      </c>
      <c r="E62">
        <v>1</v>
      </c>
      <c r="F62">
        <v>10</v>
      </c>
      <c r="G62">
        <v>2.2000000000000002</v>
      </c>
      <c r="H62">
        <v>412</v>
      </c>
    </row>
    <row r="63" spans="1:8" x14ac:dyDescent="0.25">
      <c r="A63" t="s">
        <v>138</v>
      </c>
      <c r="B63">
        <v>22.1</v>
      </c>
      <c r="C63">
        <v>0.2</v>
      </c>
      <c r="D63">
        <v>0</v>
      </c>
      <c r="E63">
        <v>1.1000000000000001</v>
      </c>
      <c r="F63">
        <v>4.8</v>
      </c>
      <c r="G63">
        <v>1.5</v>
      </c>
      <c r="H63">
        <v>6.2</v>
      </c>
    </row>
    <row r="64" spans="1:8" x14ac:dyDescent="0.25">
      <c r="A64" t="s">
        <v>139</v>
      </c>
      <c r="B64">
        <v>190</v>
      </c>
      <c r="C64">
        <v>18</v>
      </c>
      <c r="D64">
        <v>1.5</v>
      </c>
      <c r="E64">
        <v>4</v>
      </c>
      <c r="F64">
        <v>4</v>
      </c>
      <c r="G64">
        <v>2</v>
      </c>
      <c r="H64">
        <v>0</v>
      </c>
    </row>
    <row r="65" spans="1:8" x14ac:dyDescent="0.25">
      <c r="A65" t="s">
        <v>140</v>
      </c>
      <c r="B65">
        <v>100</v>
      </c>
      <c r="C65">
        <v>8</v>
      </c>
      <c r="D65">
        <v>5</v>
      </c>
      <c r="E65">
        <v>7</v>
      </c>
      <c r="F65">
        <v>0</v>
      </c>
      <c r="G65">
        <v>0</v>
      </c>
      <c r="H65">
        <v>170</v>
      </c>
    </row>
    <row r="66" spans="1:8" x14ac:dyDescent="0.25">
      <c r="A66" t="s">
        <v>155</v>
      </c>
      <c r="B66">
        <v>100</v>
      </c>
      <c r="C66">
        <v>8</v>
      </c>
      <c r="D66">
        <v>4.5</v>
      </c>
      <c r="E66">
        <v>5</v>
      </c>
      <c r="F66">
        <v>2</v>
      </c>
      <c r="G66">
        <v>0</v>
      </c>
      <c r="H66">
        <v>360</v>
      </c>
    </row>
    <row r="67" spans="1:8" x14ac:dyDescent="0.25">
      <c r="A67" t="s">
        <v>158</v>
      </c>
      <c r="B67">
        <v>240</v>
      </c>
      <c r="C67">
        <v>2</v>
      </c>
      <c r="D67">
        <v>0</v>
      </c>
      <c r="E67">
        <v>2</v>
      </c>
      <c r="F67">
        <v>54</v>
      </c>
      <c r="G67">
        <v>1</v>
      </c>
      <c r="H67">
        <v>490</v>
      </c>
    </row>
    <row r="68" spans="1:8" x14ac:dyDescent="0.25">
      <c r="A68" t="s">
        <v>159</v>
      </c>
      <c r="B68">
        <f>240*6</f>
        <v>1440</v>
      </c>
      <c r="C68">
        <v>12</v>
      </c>
      <c r="D68">
        <v>0</v>
      </c>
      <c r="E68">
        <v>12</v>
      </c>
      <c r="F68">
        <f>54*6</f>
        <v>324</v>
      </c>
      <c r="G68">
        <v>6</v>
      </c>
      <c r="H68">
        <f>490*6</f>
        <v>2940</v>
      </c>
    </row>
    <row r="69" spans="1:8" x14ac:dyDescent="0.25">
      <c r="A69" t="s">
        <v>161</v>
      </c>
      <c r="B69">
        <v>100</v>
      </c>
      <c r="C69">
        <v>8</v>
      </c>
      <c r="D69">
        <v>4.5</v>
      </c>
      <c r="E69">
        <v>5</v>
      </c>
      <c r="F69">
        <v>2</v>
      </c>
      <c r="G69">
        <v>1</v>
      </c>
      <c r="H69">
        <v>360</v>
      </c>
    </row>
    <row r="70" spans="1:8" x14ac:dyDescent="0.25">
      <c r="A70" t="s">
        <v>167</v>
      </c>
      <c r="B70">
        <v>130</v>
      </c>
      <c r="C70">
        <v>3</v>
      </c>
      <c r="D70">
        <v>0</v>
      </c>
      <c r="E70">
        <v>3</v>
      </c>
      <c r="F70">
        <v>23</v>
      </c>
      <c r="G70">
        <v>2</v>
      </c>
      <c r="H70">
        <v>620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researchMeasures</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2021-02-05T15:22:47Z</dcterms:modified>
</cp:coreProperties>
</file>