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ka\OneDrive\Namizje\SŠ - MAT\Matematika-v-srednjem-strokovnem-izobrazevanju\Delovni listi\"/>
    </mc:Choice>
  </mc:AlternateContent>
  <xr:revisionPtr revIDLastSave="0" documentId="13_ncr:1_{4CD91D17-1B0A-4540-AF2F-4FA765BCD066}" xr6:coauthVersionLast="47" xr6:coauthVersionMax="47" xr10:uidLastSave="{00000000-0000-0000-0000-000000000000}"/>
  <bookViews>
    <workbookView xWindow="-28920" yWindow="-3405" windowWidth="29040" windowHeight="15720" xr2:uid="{5FB633E4-0CB3-431C-99E0-CA746FECD604}"/>
  </bookViews>
  <sheets>
    <sheet name="Podatki" sheetId="1" r:id="rId1"/>
    <sheet name="Povprečje domačnih nalog" sheetId="7" r:id="rId2"/>
    <sheet name="Povprečje izpitov" sheetId="9" r:id="rId3"/>
    <sheet name="Analiza končnih ocen" sheetId="3" r:id="rId4"/>
    <sheet name="Končna ocena" sheetId="8" r:id="rId5"/>
    <sheet name="Kvartili" sheetId="10" r:id="rId6"/>
    <sheet name="Število pridobljenih ocen" sheetId="12" r:id="rId7"/>
  </sheets>
  <definedNames>
    <definedName name="_xlnm._FilterDatabase" localSheetId="0" hidden="1">Podatki!$A$2:$S$117</definedName>
    <definedName name="_xlchart.v1.0" hidden="1">Podatki!$N$2</definedName>
    <definedName name="_xlchart.v1.1" hidden="1">Podatki!$N$3:$N$117</definedName>
    <definedName name="_xlchart.v1.10" hidden="1">Podatki!$Q$2</definedName>
    <definedName name="_xlchart.v1.11" hidden="1">Podatki!$Q$3:$Q$117</definedName>
    <definedName name="_xlchart.v1.2" hidden="1">Podatki!$O$2</definedName>
    <definedName name="_xlchart.v1.3" hidden="1">Podatki!$O$3:$O$117</definedName>
    <definedName name="_xlchart.v1.4" hidden="1">Podatki!$Q$2</definedName>
    <definedName name="_xlchart.v1.5" hidden="1">Podatki!$Q$3:$Q$117</definedName>
    <definedName name="_xlchart.v1.6" hidden="1">Podatki!$N$2</definedName>
    <definedName name="_xlchart.v1.7" hidden="1">Podatki!$N$3:$N$117</definedName>
    <definedName name="_xlchart.v1.8" hidden="1">Podatki!$O$2</definedName>
    <definedName name="_xlchart.v1.9" hidden="1">Podatki!$O$3:$O$117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2" i="1" l="1"/>
  <c r="AB30" i="1" l="1"/>
  <c r="AB25" i="1" a="1"/>
  <c r="AB25" i="1" s="1"/>
  <c r="AA29" i="1"/>
  <c r="AA28" i="1"/>
  <c r="AA27" i="1"/>
  <c r="AA26" i="1"/>
  <c r="AA25" i="1"/>
  <c r="Z26" i="1"/>
  <c r="Z27" i="1"/>
  <c r="Z28" i="1"/>
  <c r="Z29" i="1"/>
  <c r="Z25" i="1"/>
  <c r="Y2" i="1"/>
  <c r="Q10" i="1"/>
  <c r="Q101" i="1"/>
  <c r="Q112" i="1"/>
  <c r="Q115" i="1"/>
  <c r="Q87" i="1"/>
  <c r="Q63" i="1"/>
  <c r="Q95" i="1"/>
  <c r="Q57" i="1"/>
  <c r="Q39" i="1"/>
  <c r="Q26" i="1"/>
  <c r="Q53" i="1"/>
  <c r="Q38" i="1"/>
  <c r="Q100" i="1"/>
  <c r="Q28" i="1"/>
  <c r="Q116" i="1"/>
  <c r="Q6" i="1"/>
  <c r="Q62" i="1"/>
  <c r="Q83" i="1"/>
  <c r="P74" i="1"/>
  <c r="Q74" i="1" s="1"/>
  <c r="P33" i="1"/>
  <c r="Q33" i="1" s="1"/>
  <c r="P92" i="1"/>
  <c r="Q92" i="1" s="1"/>
  <c r="P88" i="1"/>
  <c r="Q88" i="1" s="1"/>
  <c r="P44" i="1"/>
  <c r="Q44" i="1" s="1"/>
  <c r="P32" i="1"/>
  <c r="Q32" i="1" s="1"/>
  <c r="P105" i="1"/>
  <c r="Q105" i="1" s="1"/>
  <c r="P42" i="1"/>
  <c r="Q42" i="1" s="1"/>
  <c r="P82" i="1"/>
  <c r="Q82" i="1" s="1"/>
  <c r="P23" i="1"/>
  <c r="Q23" i="1" s="1"/>
  <c r="P47" i="1"/>
  <c r="Q47" i="1" s="1"/>
  <c r="P73" i="1"/>
  <c r="Q73" i="1" s="1"/>
  <c r="P59" i="1"/>
  <c r="Q59" i="1" s="1"/>
  <c r="P25" i="1"/>
  <c r="Q25" i="1" s="1"/>
  <c r="P66" i="1"/>
  <c r="Q66" i="1" s="1"/>
  <c r="P9" i="1"/>
  <c r="Q9" i="1" s="1"/>
  <c r="P22" i="1"/>
  <c r="Q22" i="1" s="1"/>
  <c r="P64" i="1"/>
  <c r="Q64" i="1" s="1"/>
  <c r="P86" i="1"/>
  <c r="Q86" i="1" s="1"/>
  <c r="P93" i="1"/>
  <c r="Q93" i="1" s="1"/>
  <c r="P77" i="1"/>
  <c r="Q77" i="1" s="1"/>
  <c r="P35" i="1"/>
  <c r="Q35" i="1" s="1"/>
  <c r="P45" i="1"/>
  <c r="Q45" i="1" s="1"/>
  <c r="P99" i="1"/>
  <c r="Q99" i="1" s="1"/>
  <c r="P98" i="1"/>
  <c r="Q98" i="1" s="1"/>
  <c r="P75" i="1"/>
  <c r="Q75" i="1" s="1"/>
  <c r="P51" i="1"/>
  <c r="Q51" i="1" s="1"/>
  <c r="P24" i="1"/>
  <c r="Q24" i="1" s="1"/>
  <c r="P52" i="1"/>
  <c r="Q52" i="1" s="1"/>
  <c r="P31" i="1"/>
  <c r="Q31" i="1" s="1"/>
  <c r="P79" i="1"/>
  <c r="Q79" i="1" s="1"/>
  <c r="P30" i="1"/>
  <c r="Q30" i="1" s="1"/>
  <c r="P7" i="1"/>
  <c r="Q7" i="1" s="1"/>
  <c r="P72" i="1"/>
  <c r="Q72" i="1" s="1"/>
  <c r="P46" i="1"/>
  <c r="Q46" i="1" s="1"/>
  <c r="P54" i="1"/>
  <c r="Q54" i="1" s="1"/>
  <c r="P104" i="1"/>
  <c r="Q104" i="1" s="1"/>
  <c r="P90" i="1"/>
  <c r="Q90" i="1" s="1"/>
  <c r="P81" i="1"/>
  <c r="Q81" i="1" s="1"/>
  <c r="P3" i="1"/>
  <c r="Q3" i="1" s="1"/>
  <c r="P85" i="1"/>
  <c r="Q85" i="1" s="1"/>
  <c r="P69" i="1"/>
  <c r="Q69" i="1" s="1"/>
  <c r="P14" i="1"/>
  <c r="Q14" i="1" s="1"/>
  <c r="P113" i="1"/>
  <c r="Q113" i="1" s="1"/>
  <c r="P60" i="1"/>
  <c r="Q60" i="1" s="1"/>
  <c r="P101" i="1"/>
  <c r="P112" i="1"/>
  <c r="P115" i="1"/>
  <c r="P41" i="1"/>
  <c r="Q41" i="1" s="1"/>
  <c r="P87" i="1"/>
  <c r="P63" i="1"/>
  <c r="P76" i="1"/>
  <c r="Q76" i="1" s="1"/>
  <c r="P56" i="1"/>
  <c r="Q56" i="1" s="1"/>
  <c r="P68" i="1"/>
  <c r="Q68" i="1" s="1"/>
  <c r="P95" i="1"/>
  <c r="P57" i="1"/>
  <c r="P61" i="1"/>
  <c r="Q61" i="1" s="1"/>
  <c r="P12" i="1"/>
  <c r="Q12" i="1" s="1"/>
  <c r="P89" i="1"/>
  <c r="Q89" i="1" s="1"/>
  <c r="P48" i="1"/>
  <c r="Q48" i="1" s="1"/>
  <c r="P39" i="1"/>
  <c r="P18" i="1"/>
  <c r="Q18" i="1" s="1"/>
  <c r="P26" i="1"/>
  <c r="P53" i="1"/>
  <c r="P38" i="1"/>
  <c r="P110" i="1"/>
  <c r="Q110" i="1" s="1"/>
  <c r="P100" i="1"/>
  <c r="P78" i="1"/>
  <c r="Q78" i="1" s="1"/>
  <c r="P28" i="1"/>
  <c r="P116" i="1"/>
  <c r="P96" i="1"/>
  <c r="Q96" i="1" s="1"/>
  <c r="P4" i="1"/>
  <c r="Q4" i="1" s="1"/>
  <c r="P15" i="1"/>
  <c r="Q15" i="1" s="1"/>
  <c r="P109" i="1"/>
  <c r="Q109" i="1" s="1"/>
  <c r="P55" i="1"/>
  <c r="Q55" i="1" s="1"/>
  <c r="P97" i="1"/>
  <c r="Q97" i="1" s="1"/>
  <c r="P91" i="1"/>
  <c r="Q91" i="1" s="1"/>
  <c r="P17" i="1"/>
  <c r="Q17" i="1" s="1"/>
  <c r="P29" i="1"/>
  <c r="Q29" i="1" s="1"/>
  <c r="P43" i="1"/>
  <c r="Q43" i="1" s="1"/>
  <c r="P50" i="1"/>
  <c r="Q50" i="1" s="1"/>
  <c r="P84" i="1"/>
  <c r="Q84" i="1" s="1"/>
  <c r="P37" i="1"/>
  <c r="Q37" i="1" s="1"/>
  <c r="P34" i="1"/>
  <c r="Q34" i="1" s="1"/>
  <c r="P27" i="1"/>
  <c r="Q27" i="1" s="1"/>
  <c r="P49" i="1"/>
  <c r="Q49" i="1" s="1"/>
  <c r="P108" i="1"/>
  <c r="Q108" i="1" s="1"/>
  <c r="P107" i="1"/>
  <c r="Q107" i="1" s="1"/>
  <c r="P65" i="1"/>
  <c r="Q65" i="1" s="1"/>
  <c r="P70" i="1"/>
  <c r="Q70" i="1" s="1"/>
  <c r="P13" i="1"/>
  <c r="Q13" i="1" s="1"/>
  <c r="P114" i="1"/>
  <c r="Q114" i="1" s="1"/>
  <c r="P36" i="1"/>
  <c r="Q36" i="1" s="1"/>
  <c r="P106" i="1"/>
  <c r="Q106" i="1" s="1"/>
  <c r="P102" i="1"/>
  <c r="Q102" i="1" s="1"/>
  <c r="P94" i="1"/>
  <c r="Q94" i="1" s="1"/>
  <c r="P11" i="1"/>
  <c r="Q11" i="1" s="1"/>
  <c r="P58" i="1"/>
  <c r="Q58" i="1" s="1"/>
  <c r="P6" i="1"/>
  <c r="P16" i="1"/>
  <c r="Q16" i="1" s="1"/>
  <c r="P67" i="1"/>
  <c r="Q67" i="1" s="1"/>
  <c r="P62" i="1"/>
  <c r="P19" i="1"/>
  <c r="Q19" i="1" s="1"/>
  <c r="P117" i="1"/>
  <c r="Q117" i="1" s="1"/>
  <c r="P71" i="1"/>
  <c r="Q71" i="1" s="1"/>
  <c r="P20" i="1"/>
  <c r="Q20" i="1" s="1"/>
  <c r="P111" i="1"/>
  <c r="Q111" i="1" s="1"/>
  <c r="P103" i="1"/>
  <c r="Q103" i="1" s="1"/>
  <c r="P21" i="1"/>
  <c r="Q21" i="1" s="1"/>
  <c r="P8" i="1"/>
  <c r="Q8" i="1" s="1"/>
  <c r="P40" i="1"/>
  <c r="Q40" i="1" s="1"/>
  <c r="P80" i="1"/>
  <c r="P5" i="1"/>
  <c r="Q5" i="1" s="1"/>
  <c r="X34" i="1" s="1"/>
  <c r="X33" i="1" l="1"/>
  <c r="Z8" i="1"/>
  <c r="Z4" i="1"/>
  <c r="Z5" i="1"/>
  <c r="Z6" i="1"/>
  <c r="Z7" i="1"/>
  <c r="R101" i="1"/>
  <c r="S101" i="1" s="1"/>
  <c r="R112" i="1"/>
  <c r="S112" i="1" s="1"/>
  <c r="R115" i="1"/>
  <c r="S115" i="1" s="1"/>
  <c r="R41" i="1"/>
  <c r="S41" i="1" s="1"/>
  <c r="R87" i="1"/>
  <c r="S87" i="1" s="1"/>
  <c r="R63" i="1"/>
  <c r="S63" i="1" s="1"/>
  <c r="R76" i="1"/>
  <c r="S76" i="1" s="1"/>
  <c r="R56" i="1"/>
  <c r="S56" i="1" s="1"/>
  <c r="R68" i="1"/>
  <c r="S68" i="1" s="1"/>
  <c r="R95" i="1"/>
  <c r="S95" i="1" s="1"/>
  <c r="R57" i="1"/>
  <c r="S57" i="1" s="1"/>
  <c r="R61" i="1"/>
  <c r="S61" i="1" s="1"/>
  <c r="R12" i="1"/>
  <c r="S12" i="1" s="1"/>
  <c r="R89" i="1"/>
  <c r="S89" i="1" s="1"/>
  <c r="R48" i="1"/>
  <c r="S48" i="1" s="1"/>
  <c r="R39" i="1"/>
  <c r="S39" i="1" s="1"/>
  <c r="R18" i="1"/>
  <c r="S18" i="1" s="1"/>
  <c r="R26" i="1"/>
  <c r="S26" i="1" s="1"/>
  <c r="R53" i="1"/>
  <c r="S53" i="1" s="1"/>
  <c r="R38" i="1"/>
  <c r="S38" i="1" s="1"/>
  <c r="R100" i="1"/>
  <c r="S100" i="1" s="1"/>
  <c r="R78" i="1"/>
  <c r="S78" i="1" s="1"/>
  <c r="R28" i="1"/>
  <c r="S28" i="1" s="1"/>
  <c r="R116" i="1"/>
  <c r="S116" i="1" s="1"/>
  <c r="R11" i="1"/>
  <c r="S11" i="1" s="1"/>
  <c r="R58" i="1"/>
  <c r="S58" i="1" s="1"/>
  <c r="R6" i="1"/>
  <c r="S6" i="1" s="1"/>
  <c r="R16" i="1"/>
  <c r="S16" i="1" s="1"/>
  <c r="R67" i="1"/>
  <c r="S67" i="1" s="1"/>
  <c r="R62" i="1"/>
  <c r="S62" i="1" s="1"/>
  <c r="R19" i="1"/>
  <c r="S19" i="1" s="1"/>
  <c r="R8" i="1"/>
  <c r="S8" i="1" s="1"/>
  <c r="R40" i="1"/>
  <c r="S40" i="1" s="1"/>
  <c r="R80" i="1"/>
  <c r="S80" i="1" s="1"/>
  <c r="E119" i="1" l="1"/>
  <c r="F119" i="1"/>
  <c r="G119" i="1"/>
  <c r="H119" i="1"/>
  <c r="I119" i="1"/>
  <c r="J119" i="1"/>
  <c r="K119" i="1"/>
  <c r="L119" i="1"/>
  <c r="M119" i="1"/>
  <c r="N119" i="1"/>
  <c r="O119" i="1"/>
  <c r="D119" i="1"/>
  <c r="R104" i="1" l="1"/>
  <c r="S104" i="1" s="1"/>
  <c r="R33" i="1"/>
  <c r="S33" i="1" s="1"/>
  <c r="R54" i="1"/>
  <c r="S54" i="1" s="1"/>
  <c r="R43" i="1"/>
  <c r="S43" i="1" s="1"/>
  <c r="R102" i="1"/>
  <c r="S102" i="1" s="1"/>
  <c r="R103" i="1"/>
  <c r="S103" i="1" s="1"/>
  <c r="R59" i="1"/>
  <c r="S59" i="1" s="1"/>
  <c r="R34" i="1"/>
  <c r="S34" i="1" s="1"/>
  <c r="R84" i="1"/>
  <c r="S84" i="1" s="1"/>
  <c r="R110" i="1"/>
  <c r="S110" i="1" s="1"/>
  <c r="R66" i="1"/>
  <c r="S66" i="1" s="1"/>
  <c r="R113" i="1"/>
  <c r="S113" i="1" s="1"/>
  <c r="R24" i="1"/>
  <c r="S24" i="1" s="1"/>
  <c r="R73" i="1"/>
  <c r="S73" i="1" s="1"/>
  <c r="R64" i="1"/>
  <c r="S64" i="1" s="1"/>
  <c r="R29" i="1"/>
  <c r="S29" i="1" s="1"/>
  <c r="R17" i="1"/>
  <c r="S17" i="1" s="1"/>
  <c r="R14" i="1"/>
  <c r="S14" i="1" s="1"/>
  <c r="R51" i="1"/>
  <c r="S51" i="1" s="1"/>
  <c r="R47" i="1"/>
  <c r="S47" i="1" s="1"/>
  <c r="R93" i="1"/>
  <c r="S93" i="1" s="1"/>
  <c r="R46" i="1"/>
  <c r="S46" i="1" s="1"/>
  <c r="R7" i="1"/>
  <c r="S7" i="1" s="1"/>
  <c r="R106" i="1"/>
  <c r="S106" i="1" s="1"/>
  <c r="R69" i="1"/>
  <c r="S69" i="1" s="1"/>
  <c r="R75" i="1"/>
  <c r="S75" i="1" s="1"/>
  <c r="R23" i="1"/>
  <c r="S23" i="1" s="1"/>
  <c r="R92" i="1"/>
  <c r="S92" i="1" s="1"/>
  <c r="R37" i="1"/>
  <c r="S37" i="1" s="1"/>
  <c r="R72" i="1"/>
  <c r="S72" i="1" s="1"/>
  <c r="R50" i="1"/>
  <c r="S50" i="1" s="1"/>
  <c r="R94" i="1"/>
  <c r="S94" i="1" s="1"/>
  <c r="R9" i="1"/>
  <c r="S9" i="1" s="1"/>
  <c r="R25" i="1"/>
  <c r="S25" i="1" s="1"/>
  <c r="R60" i="1"/>
  <c r="S60" i="1" s="1"/>
  <c r="R97" i="1"/>
  <c r="S97" i="1" s="1"/>
  <c r="R82" i="1"/>
  <c r="S82" i="1" s="1"/>
  <c r="R107" i="1"/>
  <c r="S107" i="1" s="1"/>
  <c r="R4" i="1"/>
  <c r="S4" i="1" s="1"/>
  <c r="R99" i="1"/>
  <c r="S99" i="1" s="1"/>
  <c r="R42" i="1"/>
  <c r="S42" i="1" s="1"/>
  <c r="R27" i="1"/>
  <c r="S27" i="1" s="1"/>
  <c r="R77" i="1"/>
  <c r="S77" i="1" s="1"/>
  <c r="R86" i="1"/>
  <c r="S86" i="1" s="1"/>
  <c r="R21" i="1"/>
  <c r="S21" i="1" s="1"/>
  <c r="R79" i="1"/>
  <c r="S79" i="1" s="1"/>
  <c r="R36" i="1"/>
  <c r="S36" i="1" s="1"/>
  <c r="R52" i="1"/>
  <c r="S52" i="1" s="1"/>
  <c r="R111" i="1"/>
  <c r="S111" i="1" s="1"/>
  <c r="R13" i="1"/>
  <c r="S13" i="1" s="1"/>
  <c r="R71" i="1"/>
  <c r="S71" i="1" s="1"/>
  <c r="R117" i="1"/>
  <c r="S117" i="1" s="1"/>
  <c r="R15" i="1"/>
  <c r="S15" i="1" s="1"/>
  <c r="R10" i="1"/>
  <c r="S10" i="1" s="1"/>
  <c r="R96" i="1"/>
  <c r="S96" i="1" s="1"/>
  <c r="R81" i="1"/>
  <c r="S81" i="1" s="1"/>
  <c r="R45" i="1"/>
  <c r="S45" i="1" s="1"/>
  <c r="R105" i="1"/>
  <c r="S105" i="1" s="1"/>
  <c r="R74" i="1"/>
  <c r="S74" i="1" s="1"/>
  <c r="R30" i="1"/>
  <c r="S30" i="1" s="1"/>
  <c r="R83" i="1"/>
  <c r="S83" i="1" s="1"/>
  <c r="R91" i="1"/>
  <c r="S91" i="1" s="1"/>
  <c r="R114" i="1"/>
  <c r="S114" i="1" s="1"/>
  <c r="R20" i="1"/>
  <c r="S20" i="1" s="1"/>
  <c r="R55" i="1"/>
  <c r="S55" i="1" s="1"/>
  <c r="R70" i="1"/>
  <c r="S70" i="1" s="1"/>
  <c r="R65" i="1"/>
  <c r="S65" i="1" s="1"/>
  <c r="R98" i="1"/>
  <c r="S98" i="1" s="1"/>
  <c r="R44" i="1"/>
  <c r="S44" i="1" s="1"/>
  <c r="R88" i="1"/>
  <c r="S88" i="1" s="1"/>
  <c r="R49" i="1"/>
  <c r="S49" i="1" s="1"/>
  <c r="R90" i="1"/>
  <c r="S90" i="1" s="1"/>
  <c r="R35" i="1"/>
  <c r="S35" i="1" s="1"/>
  <c r="P119" i="1"/>
  <c r="R5" i="1"/>
  <c r="S5" i="1" s="1"/>
  <c r="R108" i="1" l="1"/>
  <c r="S108" i="1" s="1"/>
  <c r="R32" i="1"/>
  <c r="S32" i="1" s="1"/>
  <c r="R109" i="1"/>
  <c r="S109" i="1" s="1"/>
  <c r="R22" i="1"/>
  <c r="S22" i="1" s="1"/>
  <c r="R85" i="1"/>
  <c r="S85" i="1" s="1"/>
  <c r="R31" i="1"/>
  <c r="S31" i="1" s="1"/>
  <c r="R3" i="1"/>
  <c r="S3" i="1" s="1"/>
  <c r="Y13" i="1" s="1"/>
  <c r="Q119" i="1"/>
  <c r="C3" i="3" l="1"/>
  <c r="Y12" i="1"/>
  <c r="Y11" i="1"/>
  <c r="Y20" i="1"/>
  <c r="Y21" i="1"/>
  <c r="Y16" i="1"/>
  <c r="Y15" i="1"/>
  <c r="Y14" i="1"/>
  <c r="Y17" i="1"/>
  <c r="R119" i="1"/>
  <c r="S119" i="1"/>
  <c r="AA11" i="1" l="1"/>
  <c r="Y18" i="1"/>
  <c r="Z13" i="1" s="1"/>
  <c r="AC13" i="1" s="1"/>
  <c r="C5" i="3"/>
  <c r="C4" i="3"/>
  <c r="C7" i="3"/>
  <c r="C8" i="3"/>
  <c r="C9" i="3"/>
  <c r="C6" i="3"/>
  <c r="Z16" i="1" l="1"/>
  <c r="AC16" i="1" s="1"/>
  <c r="Z12" i="1"/>
  <c r="AC12" i="1" s="1"/>
  <c r="Z17" i="1"/>
  <c r="AC17" i="1" s="1"/>
  <c r="Z11" i="1"/>
  <c r="AC11" i="1" s="1"/>
  <c r="AB11" i="1"/>
  <c r="AA12" i="1"/>
  <c r="Z14" i="1"/>
  <c r="AC14" i="1" s="1"/>
  <c r="Z15" i="1"/>
  <c r="C10" i="3"/>
  <c r="AB12" i="1" l="1"/>
  <c r="AA13" i="1"/>
  <c r="Z18" i="1"/>
  <c r="AC15" i="1"/>
  <c r="AC18" i="1" s="1"/>
  <c r="AA14" i="1" l="1"/>
  <c r="AB13" i="1"/>
  <c r="AA15" i="1" l="1"/>
  <c r="AB14" i="1"/>
  <c r="AA16" i="1" l="1"/>
  <c r="AB15" i="1"/>
  <c r="AA17" i="1" l="1"/>
  <c r="AB17" i="1" s="1"/>
  <c r="AB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F685F-1097-4C71-BC3A-0BAC120981A5}" keepAlive="1" name="Poizvedba – predmet-vaje" description="Povezava s poizvedbo »predmet-vaje« v delovnem zvezku." type="5" refreshedVersion="0" background="1">
    <dbPr connection="Provider=Microsoft.Mashup.OleDb.1;Data Source=$Workbook$;Location=predmet-vaje;Extended Properties=&quot;&quot;" command="SELECT * FROM [predmet-vaje]"/>
  </connection>
  <connection id="2" xr16:uid="{9B092CAB-787B-46F6-AF41-373EDC34859A}" keepAlive="1" name="Poizvedba – predmet-vaje (2)" description="Povezava s poizvedbo »predmet-vaje (2)« v delovnem zvezku." type="5" refreshedVersion="0" background="1" saveData="1">
    <dbPr connection="Provider=Microsoft.Mashup.OleDb.1;Data Source=$Workbook$;Location=&quot;predmet-vaje (2)&quot;;Extended Properties=&quot;&quot;" command="SELECT * FROM [predmet-vaje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<sst xmlns="http://schemas.openxmlformats.org/spreadsheetml/2006/main" count="293" uniqueCount="138">
  <si>
    <t>Alja</t>
  </si>
  <si>
    <t>matematika</t>
  </si>
  <si>
    <t>Matija</t>
  </si>
  <si>
    <t>Eva</t>
  </si>
  <si>
    <t>Sandi</t>
  </si>
  <si>
    <t>Nuša</t>
  </si>
  <si>
    <t>Jan</t>
  </si>
  <si>
    <t>Tomaž</t>
  </si>
  <si>
    <t>Jakob</t>
  </si>
  <si>
    <t>Nejc</t>
  </si>
  <si>
    <t>Diana</t>
  </si>
  <si>
    <t>Jerneja</t>
  </si>
  <si>
    <t>Mateja</t>
  </si>
  <si>
    <t>Larisa</t>
  </si>
  <si>
    <t>Dragana</t>
  </si>
  <si>
    <t>Maja</t>
  </si>
  <si>
    <t>Ana</t>
  </si>
  <si>
    <t>Denis</t>
  </si>
  <si>
    <t>Luka</t>
  </si>
  <si>
    <t>Nina</t>
  </si>
  <si>
    <t>Sanja</t>
  </si>
  <si>
    <t>Mina</t>
  </si>
  <si>
    <t>Gloria</t>
  </si>
  <si>
    <t>Jana</t>
  </si>
  <si>
    <t>Teja</t>
  </si>
  <si>
    <t>Staša</t>
  </si>
  <si>
    <t>Mihael</t>
  </si>
  <si>
    <t>Jure</t>
  </si>
  <si>
    <t>Dolores</t>
  </si>
  <si>
    <t>Karin</t>
  </si>
  <si>
    <t>Naja</t>
  </si>
  <si>
    <t>Amir</t>
  </si>
  <si>
    <t>Matej</t>
  </si>
  <si>
    <t>Jernej</t>
  </si>
  <si>
    <t>Katarina</t>
  </si>
  <si>
    <t>Rok</t>
  </si>
  <si>
    <t>Alen</t>
  </si>
  <si>
    <t>Maša</t>
  </si>
  <si>
    <t>Anja</t>
  </si>
  <si>
    <t>Vasilija</t>
  </si>
  <si>
    <t>Laura</t>
  </si>
  <si>
    <t>Tilen</t>
  </si>
  <si>
    <t>Urška</t>
  </si>
  <si>
    <t>Žan</t>
  </si>
  <si>
    <t>Irena</t>
  </si>
  <si>
    <t>Mija</t>
  </si>
  <si>
    <t>Katja</t>
  </si>
  <si>
    <t>Marko</t>
  </si>
  <si>
    <t>Selena</t>
  </si>
  <si>
    <t>Klemen</t>
  </si>
  <si>
    <t>Lina</t>
  </si>
  <si>
    <t>Andrej</t>
  </si>
  <si>
    <t>Pia</t>
  </si>
  <si>
    <t>Josip Urban</t>
  </si>
  <si>
    <t>Gregor</t>
  </si>
  <si>
    <t>Borut</t>
  </si>
  <si>
    <t>Erik</t>
  </si>
  <si>
    <t>Monika</t>
  </si>
  <si>
    <t>Erika</t>
  </si>
  <si>
    <t>Željka</t>
  </si>
  <si>
    <t>Simon</t>
  </si>
  <si>
    <t>pedagoška matematika</t>
  </si>
  <si>
    <t>Alenka</t>
  </si>
  <si>
    <t>Barbara</t>
  </si>
  <si>
    <t>Sinja</t>
  </si>
  <si>
    <t>Samo</t>
  </si>
  <si>
    <t>Nika</t>
  </si>
  <si>
    <t>Filip</t>
  </si>
  <si>
    <t>Uroš</t>
  </si>
  <si>
    <t>Andreja</t>
  </si>
  <si>
    <t>Veronika</t>
  </si>
  <si>
    <t>Grega</t>
  </si>
  <si>
    <t>Toni</t>
  </si>
  <si>
    <t>Timotej</t>
  </si>
  <si>
    <t>Sara</t>
  </si>
  <si>
    <t>Lara</t>
  </si>
  <si>
    <t>Aljaž</t>
  </si>
  <si>
    <t>Boštjan</t>
  </si>
  <si>
    <t>Žiga</t>
  </si>
  <si>
    <t>Darko</t>
  </si>
  <si>
    <t>Neža</t>
  </si>
  <si>
    <t>Tjaša</t>
  </si>
  <si>
    <t>David</t>
  </si>
  <si>
    <t>Ines</t>
  </si>
  <si>
    <t>Neja</t>
  </si>
  <si>
    <t>Študent</t>
  </si>
  <si>
    <t>Domače naloge</t>
  </si>
  <si>
    <t>Izpiti</t>
  </si>
  <si>
    <t>Vpisna številka</t>
  </si>
  <si>
    <t>Ime</t>
  </si>
  <si>
    <t>Program</t>
  </si>
  <si>
    <t>Naloga 1</t>
  </si>
  <si>
    <t>Naloga 2</t>
  </si>
  <si>
    <t>Naloga 3</t>
  </si>
  <si>
    <t>Naloga 4</t>
  </si>
  <si>
    <t>Naloga 5</t>
  </si>
  <si>
    <t>Naloga 6</t>
  </si>
  <si>
    <t>Naloga 7</t>
  </si>
  <si>
    <t>Naloga 8</t>
  </si>
  <si>
    <t>Naloga 9</t>
  </si>
  <si>
    <t>Naloga 10</t>
  </si>
  <si>
    <t>1. izpit</t>
  </si>
  <si>
    <t>2. izpit</t>
  </si>
  <si>
    <t>Skupaj</t>
  </si>
  <si>
    <t>Končna ocena</t>
  </si>
  <si>
    <t>Izkupiček</t>
  </si>
  <si>
    <t>Kriterij</t>
  </si>
  <si>
    <t>Izpit + domače naloge</t>
  </si>
  <si>
    <t>Ocena</t>
  </si>
  <si>
    <t>Število ocen</t>
  </si>
  <si>
    <t>negativno</t>
  </si>
  <si>
    <t>ni opravljal izpita</t>
  </si>
  <si>
    <t>&lt;50,00%</t>
  </si>
  <si>
    <t>Povprečje:</t>
  </si>
  <si>
    <t>Število vseh študentov:</t>
  </si>
  <si>
    <t>Relativna frekvenca</t>
  </si>
  <si>
    <t>Povprečno število doseženih točk:</t>
  </si>
  <si>
    <t>Povprečna ocena:</t>
  </si>
  <si>
    <t>Najpogostejša ocena:</t>
  </si>
  <si>
    <t>Središčni kot</t>
  </si>
  <si>
    <t>Največkrat doseženo število točk:</t>
  </si>
  <si>
    <t>Največje število doseženih točk:</t>
  </si>
  <si>
    <t>Najmanjše število doseženih točk:</t>
  </si>
  <si>
    <t>Absolutna frekvenca</t>
  </si>
  <si>
    <t>Število doseženih točk, ki razpolavlja podatke:</t>
  </si>
  <si>
    <t>Razred</t>
  </si>
  <si>
    <t>Kumulativna frekvenca</t>
  </si>
  <si>
    <t>Relativna kumulativna frekvenca</t>
  </si>
  <si>
    <r>
      <t>s</t>
    </r>
    <r>
      <rPr>
        <vertAlign val="subscript"/>
        <sz val="11"/>
        <color theme="1"/>
        <rFont val="Calibri"/>
        <family val="2"/>
        <scheme val="minor"/>
      </rPr>
      <t>k</t>
    </r>
  </si>
  <si>
    <r>
      <t>z</t>
    </r>
    <r>
      <rPr>
        <vertAlign val="subscript"/>
        <sz val="11"/>
        <color theme="1"/>
        <rFont val="Calibri"/>
        <family val="2"/>
        <scheme val="minor"/>
      </rPr>
      <t>k</t>
    </r>
  </si>
  <si>
    <t>Frekvenca</t>
  </si>
  <si>
    <t>Podatki o 1. izpitnem roku</t>
  </si>
  <si>
    <r>
      <t>d</t>
    </r>
    <r>
      <rPr>
        <vertAlign val="subscript"/>
        <sz val="11"/>
        <color theme="1"/>
        <rFont val="Calibri"/>
        <family val="2"/>
        <charset val="238"/>
        <scheme val="minor"/>
      </rPr>
      <t>k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</si>
  <si>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k</t>
    </r>
  </si>
  <si>
    <t>Kvartil</t>
  </si>
  <si>
    <t>Q1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</si>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</sst>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10" fontId="0" fillId="0" borderId="1" xfId="0" applyNumberFormat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4" xfId="0" applyBorder="1"/>
    <xf numFmtId="9" fontId="0" fillId="0" borderId="4" xfId="1" applyFont="1" applyBorder="1"/>
    <xf numFmtId="0" fontId="0" fillId="2" borderId="3" xfId="0" applyFill="1" applyBorder="1"/>
    <xf numFmtId="0" fontId="0" fillId="2" borderId="1" xfId="0" applyFill="1" applyBorder="1"/>
    <xf numFmtId="9" fontId="0" fillId="3" borderId="1" xfId="1" applyFont="1" applyFill="1" applyBorder="1"/>
    <xf numFmtId="1" fontId="0" fillId="3" borderId="1" xfId="0" applyNumberFormat="1" applyFill="1" applyBorder="1"/>
    <xf numFmtId="10" fontId="0" fillId="3" borderId="1" xfId="0" applyNumberFormat="1" applyFill="1" applyBorder="1"/>
    <xf numFmtId="10" fontId="0" fillId="0" borderId="6" xfId="0" applyNumberFormat="1" applyBorder="1"/>
    <xf numFmtId="0" fontId="0" fillId="0" borderId="7" xfId="0" applyBorder="1"/>
    <xf numFmtId="1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169" fontId="0" fillId="0" borderId="1" xfId="0" applyNumberFormat="1" applyBorder="1"/>
  </cellXfs>
  <cellStyles count="2">
    <cellStyle name="Navadno" xfId="0" builtinId="0"/>
    <cellStyle name="Odstote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Povprečje</a:t>
            </a:r>
            <a:r>
              <a:rPr lang="sl-SI"/>
              <a:t> domačih nalog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Podatki!$C$119</c:f>
              <c:strCache>
                <c:ptCount val="1"/>
                <c:pt idx="0">
                  <c:v>Povprečje: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Podatki!$D$119:$M$119</c:f>
            </c:numRef>
          </c:val>
          <c:extLst>
            <c:ext xmlns:c16="http://schemas.microsoft.com/office/drawing/2014/chart" uri="{C3380CC4-5D6E-409C-BE32-E72D297353CC}">
              <c16:uniqueId val="{00000000-75F6-41EF-B97B-F1A091D190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3108671"/>
        <c:axId val="413109631"/>
      </c:barChart>
      <c:catAx>
        <c:axId val="413108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Domače naloge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13109631"/>
        <c:crosses val="autoZero"/>
        <c:auto val="1"/>
        <c:lblAlgn val="ctr"/>
        <c:lblOffset val="100"/>
        <c:noMultiLvlLbl val="0"/>
      </c:catAx>
      <c:valAx>
        <c:axId val="41310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točk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1310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Povprečje izpitov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Podatki!$C$119</c:f>
              <c:strCache>
                <c:ptCount val="1"/>
                <c:pt idx="0">
                  <c:v>Povprečje: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(Podatki!$N$119,Podatki!$O$119)</c:f>
              <c:numCache>
                <c:formatCode>General</c:formatCode>
                <c:ptCount val="2"/>
                <c:pt idx="0">
                  <c:v>38.392405063291136</c:v>
                </c:pt>
                <c:pt idx="1">
                  <c:v>41.53846153846154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3-482D-A357-B8E47E35C6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02581727"/>
        <c:axId val="1102584127"/>
      </c:barChart>
      <c:catAx>
        <c:axId val="11025817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Izpitni rok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102584127"/>
        <c:crosses val="autoZero"/>
        <c:auto val="1"/>
        <c:lblAlgn val="ctr"/>
        <c:lblOffset val="100"/>
        <c:noMultiLvlLbl val="0"/>
      </c:catAx>
      <c:valAx>
        <c:axId val="110258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Število točk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10258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Končni</a:t>
            </a:r>
            <a:r>
              <a:rPr lang="sl-SI" baseline="0"/>
              <a:t> dosežki študentov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'Analiza končnih ocen'!$C$2</c:f>
              <c:strCache>
                <c:ptCount val="1"/>
                <c:pt idx="0">
                  <c:v>Število ocen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BE-4A33-A785-163C840C734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2BE-4A33-A785-163C840C734D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2BE-4A33-A785-163C840C734D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2BE-4A33-A785-163C840C734D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2BE-4A33-A785-163C840C734D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BE-4A33-A785-163C840C73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BE-4A33-A785-163C840C73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'Analiza končnih ocen'!$B$3:$B$9</c:f>
              <c:strCache>
                <c:ptCount val="7"/>
                <c:pt idx="0">
                  <c:v>negativno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ni opravljal izpita</c:v>
                </c:pt>
              </c:strCache>
            </c:strRef>
          </c:cat>
          <c:val>
            <c:numRef>
              <c:f>'Analiza končnih ocen'!$C$3:$C$9</c:f>
              <c:numCache>
                <c:formatCode>General</c:formatCode>
                <c:ptCount val="7"/>
                <c:pt idx="0">
                  <c:v>35</c:v>
                </c:pt>
                <c:pt idx="1">
                  <c:v>13</c:v>
                </c:pt>
                <c:pt idx="2">
                  <c:v>15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F-4E5D-A04A-0B4FECFA14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Število</a:t>
            </a:r>
            <a:r>
              <a:rPr lang="sl-SI" baseline="0"/>
              <a:t> končnih ocen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Podatki!$X$11:$X$16</c:f>
              <c:strCache>
                <c:ptCount val="6"/>
                <c:pt idx="0">
                  <c:v>negativno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strCache>
            </c:strRef>
          </c:cat>
          <c:val>
            <c:numRef>
              <c:f>Podatki!$Y$11:$Y$16</c:f>
              <c:numCache>
                <c:formatCode>General</c:formatCode>
                <c:ptCount val="6"/>
                <c:pt idx="0">
                  <c:v>35</c:v>
                </c:pt>
                <c:pt idx="1">
                  <c:v>13</c:v>
                </c:pt>
                <c:pt idx="2">
                  <c:v>15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0-46B3-AF3D-600A83CFE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66769536"/>
        <c:axId val="866770976"/>
      </c:barChart>
      <c:catAx>
        <c:axId val="866769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66770976"/>
        <c:crosses val="autoZero"/>
        <c:auto val="1"/>
        <c:lblAlgn val="ctr"/>
        <c:lblOffset val="100"/>
        <c:noMultiLvlLbl val="0"/>
      </c:catAx>
      <c:valAx>
        <c:axId val="86677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6676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Kvartili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sl-SI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Kvartili</a:t>
          </a:r>
        </a:p>
      </cx:txPr>
    </cx:title>
    <cx:plotArea>
      <cx:plotAreaRegion>
        <cx:series layoutId="boxWhisker" uniqueId="{F7AD901E-65AB-4C0F-B796-23E1E1FFE655}" formatIdx="1">
          <cx:tx>
            <cx:txData>
              <cx:f>_xlchart.v1.0</cx:f>
              <cx:v>1. izpit</cx:v>
            </cx:txData>
          </cx:tx>
          <cx:dataLabels pos="l">
            <cx:visibility seriesName="0" categoryName="0" value="1"/>
            <cx:separator>, </cx:separator>
            <cx:dataLabelHidden idx="118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AB30F32-2FD8-4675-9315-B739629ACAB5}" formatIdx="2">
          <cx:tx>
            <cx:txData>
              <cx:f>_xlchart.v1.2</cx:f>
              <cx:v>2. izpit</cx:v>
            </cx:txData>
          </cx:tx>
          <cx:dataLabels>
            <cx:visibility seriesName="0" categoryName="0" value="1"/>
            <cx:dataLabelHidden idx="118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Izpitni rok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l-SI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Izpitni rok</a:t>
              </a:r>
            </a:p>
          </cx:txPr>
        </cx:title>
        <cx:tickLabels/>
      </cx:axis>
      <cx:axis id="1">
        <cx:valScaling max="100"/>
        <cx:title>
          <cx:tx>
            <cx:txData>
              <cx:v>Število doseženih točk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l-SI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Število doseženih točk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sl-SI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366703-8386-4E78-B0B0-089B27E7F70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92CD7F-01DD-4BD9-912D-64249EC94F4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CB78B0-CD4B-4A74-A2D8-AC7F6246FC6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F12A0-7741-41C9-82CD-BE1FB102FA0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24FAF6-3A60-492B-98E1-F0D4B24FC39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E2C108AA-5392-7DAC-DA99-1223B65F4E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966CE1FB-2056-1AFD-3E92-5750F2C759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BCF115F9-4EC7-F513-147D-B6865255B2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kon 1">
              <a:extLst>
                <a:ext uri="{FF2B5EF4-FFF2-40B4-BE49-F238E27FC236}">
                  <a16:creationId xmlns:a16="http://schemas.microsoft.com/office/drawing/2014/main" id="{C4DAA59D-D02E-59A5-14A5-4CA1369941C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Pravokotnik 1">
          <a:extLst xmlns:a="http://schemas.openxmlformats.org/drawingml/2006/main">
            <a:ext uri="{FF2B5EF4-FFF2-40B4-BE49-F238E27FC236}">
              <a16:creationId xmlns:a16="http://schemas.microsoft.com/office/drawing/2014/main" id="{3F108AD0-9045-2553-4CFC-7A5E9D247318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5192" cy="6081346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sl-SI" sz="1100"/>
            <a:t>Ta grafikon ni na voljo v vaši različici programa Excel.
Če obliko uredite ali pa delovni zvezek shranite v drugi obliki zapisa datoteke, bo grafikon trajno poškodovan.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AA9E728-89A9-1448-6659-5B0ED44804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sistemov Office 2013–2022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0438-DC93-46E5-8F6A-D0B8C2C3F17B}">
  <dimension ref="A1:AC119"/>
  <sheetViews>
    <sheetView tabSelected="1" zoomScale="80" zoomScaleNormal="80" workbookViewId="0">
      <selection activeCell="X32" sqref="X32"/>
    </sheetView>
  </sheetViews>
  <sheetFormatPr defaultRowHeight="15" x14ac:dyDescent="0.25"/>
  <cols>
    <col min="1" max="1" width="18.140625" bestFit="1" customWidth="1"/>
    <col min="2" max="2" width="11.85546875" bestFit="1" customWidth="1"/>
    <col min="3" max="3" width="23.28515625" bestFit="1" customWidth="1"/>
    <col min="4" max="6" width="12.28515625" hidden="1" customWidth="1"/>
    <col min="7" max="7" width="12.85546875" hidden="1" customWidth="1"/>
    <col min="8" max="12" width="12.28515625" hidden="1" customWidth="1"/>
    <col min="13" max="13" width="12.85546875" hidden="1" customWidth="1"/>
    <col min="14" max="15" width="12.28515625" bestFit="1" customWidth="1"/>
    <col min="16" max="16" width="18.28515625" bestFit="1" customWidth="1"/>
    <col min="17" max="17" width="24.5703125" bestFit="1" customWidth="1"/>
    <col min="18" max="18" width="9.85546875" bestFit="1" customWidth="1"/>
    <col min="19" max="19" width="17.5703125" bestFit="1" customWidth="1"/>
    <col min="21" max="21" width="8.140625" bestFit="1" customWidth="1"/>
    <col min="22" max="22" width="10.28515625" bestFit="1" customWidth="1"/>
    <col min="24" max="24" width="21.85546875" customWidth="1"/>
    <col min="25" max="25" width="21.140625" customWidth="1"/>
    <col min="26" max="26" width="19.42578125" bestFit="1" customWidth="1"/>
    <col min="27" max="27" width="22.28515625" bestFit="1" customWidth="1"/>
    <col min="28" max="28" width="31.85546875" bestFit="1" customWidth="1"/>
    <col min="29" max="29" width="12.85546875" bestFit="1" customWidth="1"/>
  </cols>
  <sheetData>
    <row r="1" spans="1:29" x14ac:dyDescent="0.25">
      <c r="A1" s="18" t="s">
        <v>85</v>
      </c>
      <c r="B1" s="18"/>
      <c r="C1" s="18"/>
      <c r="D1" s="18" t="s">
        <v>86</v>
      </c>
      <c r="E1" s="18"/>
      <c r="F1" s="18"/>
      <c r="G1" s="18"/>
      <c r="H1" s="18"/>
      <c r="I1" s="18"/>
      <c r="J1" s="18"/>
      <c r="K1" s="18"/>
      <c r="L1" s="18"/>
      <c r="M1" s="18"/>
      <c r="N1" s="18" t="s">
        <v>87</v>
      </c>
      <c r="O1" s="18"/>
      <c r="P1" s="18" t="s">
        <v>105</v>
      </c>
      <c r="Q1" s="18"/>
      <c r="R1" s="18"/>
      <c r="S1" s="18"/>
      <c r="U1" s="17" t="s">
        <v>106</v>
      </c>
      <c r="V1" s="17"/>
    </row>
    <row r="2" spans="1:29" ht="15.75" thickBot="1" x14ac:dyDescent="0.3">
      <c r="A2" s="9" t="s">
        <v>88</v>
      </c>
      <c r="B2" s="9" t="s">
        <v>89</v>
      </c>
      <c r="C2" s="9" t="s">
        <v>90</v>
      </c>
      <c r="D2" s="9" t="s">
        <v>91</v>
      </c>
      <c r="E2" s="9" t="s">
        <v>92</v>
      </c>
      <c r="F2" s="9" t="s">
        <v>93</v>
      </c>
      <c r="G2" s="9" t="s">
        <v>94</v>
      </c>
      <c r="H2" s="9" t="s">
        <v>95</v>
      </c>
      <c r="I2" s="9" t="s">
        <v>96</v>
      </c>
      <c r="J2" s="9" t="s">
        <v>97</v>
      </c>
      <c r="K2" s="9" t="s">
        <v>98</v>
      </c>
      <c r="L2" s="9" t="s">
        <v>99</v>
      </c>
      <c r="M2" s="9" t="s">
        <v>100</v>
      </c>
      <c r="N2" s="9" t="s">
        <v>101</v>
      </c>
      <c r="O2" s="9" t="s">
        <v>102</v>
      </c>
      <c r="P2" s="9" t="s">
        <v>86</v>
      </c>
      <c r="Q2" s="9" t="s">
        <v>107</v>
      </c>
      <c r="R2" s="9" t="s">
        <v>103</v>
      </c>
      <c r="S2" s="9" t="s">
        <v>104</v>
      </c>
      <c r="U2" s="3" t="s">
        <v>112</v>
      </c>
      <c r="V2" s="3" t="s">
        <v>110</v>
      </c>
      <c r="X2" s="10" t="s">
        <v>114</v>
      </c>
      <c r="Y2" s="3">
        <f>COUNT(A3:A117)</f>
        <v>115</v>
      </c>
    </row>
    <row r="3" spans="1:29" x14ac:dyDescent="0.25">
      <c r="A3" s="6">
        <v>27101465</v>
      </c>
      <c r="B3" s="6" t="s">
        <v>36</v>
      </c>
      <c r="C3" s="6" t="s">
        <v>1</v>
      </c>
      <c r="D3" s="7">
        <v>2</v>
      </c>
      <c r="E3" s="7">
        <v>0</v>
      </c>
      <c r="F3" s="7">
        <v>0</v>
      </c>
      <c r="G3" s="7">
        <v>0</v>
      </c>
      <c r="H3" s="7">
        <v>0</v>
      </c>
      <c r="I3" s="7"/>
      <c r="J3" s="7"/>
      <c r="K3" s="7"/>
      <c r="L3" s="7"/>
      <c r="M3" s="7"/>
      <c r="N3" s="7">
        <v>5</v>
      </c>
      <c r="O3" s="7">
        <v>5</v>
      </c>
      <c r="P3" s="7">
        <f>IF(COUNTBLANK(D3:M3)=10,"",SUM(D3:M3))</f>
        <v>2</v>
      </c>
      <c r="Q3" s="7">
        <f>IF(COUNTBLANK(D3:O3)=12,"",MAX(N3+P3,O3+0.5*P3))</f>
        <v>7</v>
      </c>
      <c r="R3" s="8">
        <f>IF(COUNTBLANK(N3:O3)=2,"",IF(AND(SUM(N3:O3)=0,P3&lt;0),0,Q3/100))</f>
        <v>7.0000000000000007E-2</v>
      </c>
      <c r="S3" s="7" t="str">
        <f>IF(R3="","ni opravljal izpita",IF(R3&lt;$U$3,"negativno",LOOKUP(R3,$U$3:$U$7,$V$3:$V$7)))</f>
        <v>negativno</v>
      </c>
      <c r="U3" s="2">
        <v>0.5</v>
      </c>
      <c r="V3" s="3">
        <v>6</v>
      </c>
    </row>
    <row r="4" spans="1:29" x14ac:dyDescent="0.25">
      <c r="A4" s="12">
        <v>27041948.960000001</v>
      </c>
      <c r="B4" s="5" t="s">
        <v>62</v>
      </c>
      <c r="C4" s="5" t="s">
        <v>61</v>
      </c>
      <c r="D4" s="3">
        <v>1</v>
      </c>
      <c r="E4" s="3">
        <v>0</v>
      </c>
      <c r="F4" s="3">
        <v>0</v>
      </c>
      <c r="G4" s="3"/>
      <c r="H4" s="3"/>
      <c r="I4" s="3"/>
      <c r="J4" s="3"/>
      <c r="K4" s="3"/>
      <c r="L4" s="3">
        <v>0</v>
      </c>
      <c r="M4" s="3"/>
      <c r="N4" s="3">
        <v>65</v>
      </c>
      <c r="O4" s="3"/>
      <c r="P4" s="7">
        <f>IF(COUNTBLANK(D4:M4)=10,"",SUM(D4:M4))</f>
        <v>1</v>
      </c>
      <c r="Q4" s="7">
        <f>IF(COUNTBLANK(D4:O4)=12,"",MAX(N4+P4,O4+0.5*P4))</f>
        <v>66</v>
      </c>
      <c r="R4" s="8">
        <f>IF(COUNTBLANK(N4:O4)=2,"",IF(AND(SUM(N4:O4)=0,P4&lt;0),0,Q4/100))</f>
        <v>0.66</v>
      </c>
      <c r="S4" s="7">
        <f>IF(R4="","ni opravljal izpita",IF(R4&lt;$U$3,"negativno",LOOKUP(R4,$U$3:$U$7,$V$3:$V$7)))</f>
        <v>7</v>
      </c>
      <c r="U4" s="2">
        <v>0.6</v>
      </c>
      <c r="V4" s="3">
        <v>7</v>
      </c>
      <c r="X4" s="19" t="s">
        <v>116</v>
      </c>
      <c r="Y4" s="20"/>
      <c r="Z4" s="21">
        <f>AVERAGE(Q3:Q117)</f>
        <v>43.005050505050505</v>
      </c>
    </row>
    <row r="5" spans="1:29" x14ac:dyDescent="0.25">
      <c r="A5" s="5">
        <v>28100112</v>
      </c>
      <c r="B5" s="5" t="s">
        <v>0</v>
      </c>
      <c r="C5" s="5" t="s">
        <v>1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100</v>
      </c>
      <c r="O5" s="3"/>
      <c r="P5" s="7">
        <f>IF(COUNTBLANK(D5:M5)=10,"",SUM(D5:M5))</f>
        <v>20</v>
      </c>
      <c r="Q5" s="7">
        <f>IF(COUNTBLANK(D5:O5)=12,"",MAX(N5+P5,O5+0.5*P5))</f>
        <v>120</v>
      </c>
      <c r="R5" s="8">
        <f>IF(COUNTBLANK(N5:O5)=2,"",IF(AND(SUM(N5:O5)=0,P5&lt;0),0,Q5/100))</f>
        <v>1.2</v>
      </c>
      <c r="S5" s="7">
        <f>IF(R5="","ni opravljal izpita",IF(R5&lt;$U$3,"negativno",LOOKUP(R5,$U$3:$U$7,$V$3:$V$7)))</f>
        <v>10</v>
      </c>
      <c r="U5" s="2">
        <v>0.7</v>
      </c>
      <c r="V5" s="3">
        <v>8</v>
      </c>
      <c r="X5" s="19" t="s">
        <v>120</v>
      </c>
      <c r="Y5" s="20"/>
      <c r="Z5" s="3">
        <f>MODE(Q3:Q117)</f>
        <v>58</v>
      </c>
    </row>
    <row r="6" spans="1:29" x14ac:dyDescent="0.25">
      <c r="A6" s="5">
        <v>26994210</v>
      </c>
      <c r="B6" s="5" t="s">
        <v>76</v>
      </c>
      <c r="C6" s="5" t="s">
        <v>61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7" t="str">
        <f>IF(COUNTBLANK(D6:M6)=10,"",SUM(D6:M6))</f>
        <v/>
      </c>
      <c r="Q6" s="7" t="str">
        <f>IF(COUNTBLANK(D6:O6)=12,"",MAX(N6+P6,O6+0.5*P6))</f>
        <v/>
      </c>
      <c r="R6" s="8" t="str">
        <f>IF(COUNTBLANK(N6:O6)=2,"",IF(AND(SUM(N6:O6)=0,P6&lt;0),0,Q6/100))</f>
        <v/>
      </c>
      <c r="S6" s="7" t="str">
        <f>IF(R6="","ni opravljal izpita",IF(R6&lt;$U$3,"negativno",LOOKUP(R6,$U$3:$U$7,$V$3:$V$7)))</f>
        <v>ni opravljal izpita</v>
      </c>
      <c r="U6" s="2">
        <v>0.8</v>
      </c>
      <c r="V6" s="3">
        <v>9</v>
      </c>
      <c r="X6" s="19" t="s">
        <v>124</v>
      </c>
      <c r="Y6" s="20"/>
      <c r="Z6" s="3">
        <f>MEDIAN(Q3:Q117)</f>
        <v>45</v>
      </c>
    </row>
    <row r="7" spans="1:29" x14ac:dyDescent="0.25">
      <c r="A7" s="5">
        <v>27101566</v>
      </c>
      <c r="B7" s="5" t="s">
        <v>31</v>
      </c>
      <c r="C7" s="5" t="s">
        <v>1</v>
      </c>
      <c r="D7" s="3">
        <v>1</v>
      </c>
      <c r="E7" s="3">
        <v>0</v>
      </c>
      <c r="F7" s="3">
        <v>1</v>
      </c>
      <c r="G7" s="3">
        <v>1</v>
      </c>
      <c r="H7" s="3"/>
      <c r="I7" s="3"/>
      <c r="J7" s="3"/>
      <c r="K7" s="3"/>
      <c r="L7" s="3"/>
      <c r="M7" s="3"/>
      <c r="N7" s="3">
        <v>43</v>
      </c>
      <c r="O7" s="3">
        <v>60</v>
      </c>
      <c r="P7" s="7">
        <f>IF(COUNTBLANK(D7:M7)=10,"",SUM(D7:M7))</f>
        <v>3</v>
      </c>
      <c r="Q7" s="7">
        <f>IF(COUNTBLANK(D7:O7)=12,"",MAX(N7+P7,O7+0.5*P7))</f>
        <v>61.5</v>
      </c>
      <c r="R7" s="8">
        <f>IF(COUNTBLANK(N7:O7)=2,"",IF(AND(SUM(N7:O7)=0,P7&lt;0),0,Q7/100))</f>
        <v>0.61499999999999999</v>
      </c>
      <c r="S7" s="7">
        <f>IF(R7="","ni opravljal izpita",IF(R7&lt;$U$3,"negativno",LOOKUP(R7,$U$3:$U$7,$V$3:$V$7)))</f>
        <v>7</v>
      </c>
      <c r="U7" s="2">
        <v>0.9</v>
      </c>
      <c r="V7" s="3">
        <v>10</v>
      </c>
      <c r="X7" s="19" t="s">
        <v>121</v>
      </c>
      <c r="Y7" s="20"/>
      <c r="Z7" s="3">
        <f>MAX(Q3:Q117)</f>
        <v>120</v>
      </c>
    </row>
    <row r="8" spans="1:29" x14ac:dyDescent="0.25">
      <c r="A8" s="5">
        <v>27090322</v>
      </c>
      <c r="B8" s="5" t="s">
        <v>16</v>
      </c>
      <c r="C8" s="5" t="s">
        <v>1</v>
      </c>
      <c r="D8" s="3">
        <v>1</v>
      </c>
      <c r="E8" s="3">
        <v>2</v>
      </c>
      <c r="F8" s="3">
        <v>1</v>
      </c>
      <c r="G8" s="3">
        <v>1</v>
      </c>
      <c r="H8" s="3">
        <v>2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/>
      <c r="O8" s="3"/>
      <c r="P8" s="7">
        <f>IF(COUNTBLANK(D8:M8)=10,"",SUM(D8:M8))</f>
        <v>10</v>
      </c>
      <c r="Q8" s="7">
        <f>IF(COUNTBLANK(D8:O8)=12,"",MAX(N8+P8,O8+0.5*P8))</f>
        <v>10</v>
      </c>
      <c r="R8" s="8" t="str">
        <f>IF(COUNTBLANK(N8:O8)=2,"",IF(AND(SUM(N8:O8)=0,P8&lt;0),0,Q8/100))</f>
        <v/>
      </c>
      <c r="S8" s="7" t="str">
        <f>IF(R8="","ni opravljal izpita",IF(R8&lt;$U$3,"negativno",LOOKUP(R8,$U$3:$U$7,$V$3:$V$7)))</f>
        <v>ni opravljal izpita</v>
      </c>
      <c r="X8" s="19" t="s">
        <v>122</v>
      </c>
      <c r="Y8" s="20"/>
      <c r="Z8" s="3">
        <f>MIN(Q3:Q117)</f>
        <v>0</v>
      </c>
    </row>
    <row r="9" spans="1:29" x14ac:dyDescent="0.25">
      <c r="A9" s="5">
        <v>27101882</v>
      </c>
      <c r="B9" s="5" t="s">
        <v>16</v>
      </c>
      <c r="C9" s="5" t="s">
        <v>1</v>
      </c>
      <c r="D9" s="3">
        <v>1</v>
      </c>
      <c r="E9" s="3">
        <v>0</v>
      </c>
      <c r="F9" s="3">
        <v>1</v>
      </c>
      <c r="G9" s="3">
        <v>1</v>
      </c>
      <c r="H9" s="3">
        <v>2</v>
      </c>
      <c r="I9" s="3"/>
      <c r="J9" s="3"/>
      <c r="K9" s="3"/>
      <c r="L9" s="3">
        <v>2</v>
      </c>
      <c r="M9" s="3">
        <v>1</v>
      </c>
      <c r="N9" s="3">
        <v>50</v>
      </c>
      <c r="O9" s="3"/>
      <c r="P9" s="7">
        <f>IF(COUNTBLANK(D9:M9)=10,"",SUM(D9:M9))</f>
        <v>8</v>
      </c>
      <c r="Q9" s="7">
        <f>IF(COUNTBLANK(D9:O9)=12,"",MAX(N9+P9,O9+0.5*P9))</f>
        <v>58</v>
      </c>
      <c r="R9" s="8">
        <f>IF(COUNTBLANK(N9:O9)=2,"",IF(AND(SUM(N9:O9)=0,P9&lt;0),0,Q9/100))</f>
        <v>0.57999999999999996</v>
      </c>
      <c r="S9" s="7">
        <f>IF(R9="","ni opravljal izpita",IF(R9&lt;$U$3,"negativno",LOOKUP(R9,$U$3:$U$7,$V$3:$V$7)))</f>
        <v>6</v>
      </c>
    </row>
    <row r="10" spans="1:29" x14ac:dyDescent="0.25">
      <c r="A10" s="5">
        <v>26987137</v>
      </c>
      <c r="B10" s="5" t="s">
        <v>51</v>
      </c>
      <c r="C10" s="5" t="s">
        <v>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20</v>
      </c>
      <c r="P10" s="7"/>
      <c r="Q10" s="7">
        <f>IF(COUNTBLANK(D10:O10)=12,"",MAX(N10+P10,O10+0.5*P10))</f>
        <v>20</v>
      </c>
      <c r="R10" s="8">
        <f>IF(COUNTBLANK(N10:O10)=2,"",IF(AND(SUM(N10:O10)=0,P10&lt;0),0,Q10/100))</f>
        <v>0.2</v>
      </c>
      <c r="S10" s="7" t="str">
        <f>IF(R10="","ni opravljal izpita",IF(R10&lt;$U$3,"negativno",LOOKUP(R10,$U$3:$U$7,$V$3:$V$7)))</f>
        <v>negativno</v>
      </c>
      <c r="W10" s="10" t="s">
        <v>125</v>
      </c>
      <c r="X10" s="10" t="s">
        <v>108</v>
      </c>
      <c r="Y10" s="10" t="s">
        <v>123</v>
      </c>
      <c r="Z10" s="10" t="s">
        <v>115</v>
      </c>
      <c r="AA10" s="10" t="s">
        <v>126</v>
      </c>
      <c r="AB10" s="10" t="s">
        <v>127</v>
      </c>
      <c r="AC10" s="10" t="s">
        <v>119</v>
      </c>
    </row>
    <row r="11" spans="1:29" x14ac:dyDescent="0.25">
      <c r="A11" s="5">
        <v>26997746</v>
      </c>
      <c r="B11" s="5" t="s">
        <v>51</v>
      </c>
      <c r="C11" s="5" t="s">
        <v>61</v>
      </c>
      <c r="D11" s="3">
        <v>1</v>
      </c>
      <c r="E11" s="3">
        <v>2</v>
      </c>
      <c r="F11" s="3">
        <v>2</v>
      </c>
      <c r="G11" s="3">
        <v>0</v>
      </c>
      <c r="H11" s="3">
        <v>1</v>
      </c>
      <c r="I11" s="3"/>
      <c r="J11" s="3"/>
      <c r="K11" s="3"/>
      <c r="L11" s="3">
        <v>1</v>
      </c>
      <c r="M11" s="3">
        <v>2</v>
      </c>
      <c r="N11" s="3"/>
      <c r="O11" s="3"/>
      <c r="P11" s="7">
        <f>IF(COUNTBLANK(D11:M11)=10,"",SUM(D11:M11))</f>
        <v>9</v>
      </c>
      <c r="Q11" s="7">
        <f>IF(COUNTBLANK(D11:O11)=12,"",MAX(N11+P11,O11+0.5*P11))</f>
        <v>9</v>
      </c>
      <c r="R11" s="8" t="str">
        <f>IF(COUNTBLANK(N11:O11)=2,"",IF(AND(SUM(N11:O11)=0,P11&lt;0),0,Q11/100))</f>
        <v/>
      </c>
      <c r="S11" s="7" t="str">
        <f>IF(R11="","ni opravljal izpita",IF(R11&lt;$U$3,"negativno",LOOKUP(R11,$U$3:$U$7,$V$3:$V$7)))</f>
        <v>ni opravljal izpita</v>
      </c>
      <c r="W11" s="5">
        <v>1</v>
      </c>
      <c r="X11" s="5" t="s">
        <v>110</v>
      </c>
      <c r="Y11" s="3">
        <f>COUNTIF($S$3:$S$117,X11)</f>
        <v>35</v>
      </c>
      <c r="Z11" s="2">
        <f>Y11/$Y$18</f>
        <v>0.30434782608695654</v>
      </c>
      <c r="AA11" s="3">
        <f>Y11</f>
        <v>35</v>
      </c>
      <c r="AB11" s="2">
        <f>AA11/$Y$18</f>
        <v>0.30434782608695654</v>
      </c>
      <c r="AC11" s="16">
        <f>Z11*360</f>
        <v>109.56521739130436</v>
      </c>
    </row>
    <row r="12" spans="1:29" x14ac:dyDescent="0.25">
      <c r="A12" s="12">
        <v>27066702.440000001</v>
      </c>
      <c r="B12" s="5" t="s">
        <v>51</v>
      </c>
      <c r="C12" s="5" t="s">
        <v>1</v>
      </c>
      <c r="D12" s="3">
        <v>2</v>
      </c>
      <c r="E12" s="3">
        <v>2</v>
      </c>
      <c r="F12" s="3">
        <v>2</v>
      </c>
      <c r="G12" s="3">
        <v>1</v>
      </c>
      <c r="H12" s="3">
        <v>2</v>
      </c>
      <c r="I12" s="3">
        <v>1</v>
      </c>
      <c r="J12" s="3">
        <v>0</v>
      </c>
      <c r="K12" s="3">
        <v>1</v>
      </c>
      <c r="L12" s="3">
        <v>2</v>
      </c>
      <c r="M12" s="3"/>
      <c r="N12" s="3"/>
      <c r="O12" s="3"/>
      <c r="P12" s="7">
        <f>IF(COUNTBLANK(D12:M12)=10,"",SUM(D12:M12))</f>
        <v>13</v>
      </c>
      <c r="Q12" s="7">
        <f>IF(COUNTBLANK(D12:O12)=12,"",MAX(N12+P12,O12+0.5*P12))</f>
        <v>13</v>
      </c>
      <c r="R12" s="8" t="str">
        <f>IF(COUNTBLANK(N12:O12)=2,"",IF(AND(SUM(N12:O12)=0,P12&lt;0),0,Q12/100))</f>
        <v/>
      </c>
      <c r="S12" s="7" t="str">
        <f>IF(R12="","ni opravljal izpita",IF(R12&lt;$U$3,"negativno",LOOKUP(R12,$U$3:$U$7,$V$3:$V$7)))</f>
        <v>ni opravljal izpita</v>
      </c>
      <c r="W12" s="5">
        <v>2</v>
      </c>
      <c r="X12" s="5">
        <v>6</v>
      </c>
      <c r="Y12" s="3">
        <f t="shared" ref="Y12:Y17" si="0">COUNTIF($S$3:$S$117,X12)</f>
        <v>13</v>
      </c>
      <c r="Z12" s="2">
        <f t="shared" ref="Z12:Z17" si="1">Y12/$Y$18</f>
        <v>0.11304347826086956</v>
      </c>
      <c r="AA12" s="3">
        <f>AA11+Y12</f>
        <v>48</v>
      </c>
      <c r="AB12" s="2">
        <f t="shared" ref="AB12:AB17" si="2">AA12/$Y$18</f>
        <v>0.41739130434782606</v>
      </c>
      <c r="AC12" s="16">
        <f t="shared" ref="AC12:AC17" si="3">Z12*360</f>
        <v>40.695652173913047</v>
      </c>
    </row>
    <row r="13" spans="1:29" x14ac:dyDescent="0.25">
      <c r="A13" s="5">
        <v>27008354</v>
      </c>
      <c r="B13" s="5" t="s">
        <v>69</v>
      </c>
      <c r="C13" s="5" t="s">
        <v>61</v>
      </c>
      <c r="D13" s="3">
        <v>2</v>
      </c>
      <c r="E13" s="3">
        <v>2</v>
      </c>
      <c r="F13" s="3">
        <v>2</v>
      </c>
      <c r="G13" s="3">
        <v>1</v>
      </c>
      <c r="H13" s="3">
        <v>2</v>
      </c>
      <c r="I13" s="3">
        <v>1</v>
      </c>
      <c r="J13" s="3">
        <v>1</v>
      </c>
      <c r="K13" s="3">
        <v>1</v>
      </c>
      <c r="L13" s="3">
        <v>2</v>
      </c>
      <c r="M13" s="3">
        <v>2</v>
      </c>
      <c r="N13" s="3">
        <v>15</v>
      </c>
      <c r="O13" s="3"/>
      <c r="P13" s="7">
        <f>IF(COUNTBLANK(D13:M13)=10,"",SUM(D13:M13))</f>
        <v>16</v>
      </c>
      <c r="Q13" s="7">
        <f>IF(COUNTBLANK(D13:O13)=12,"",MAX(N13+P13,O13+0.5*P13))</f>
        <v>31</v>
      </c>
      <c r="R13" s="8">
        <f>IF(COUNTBLANK(N13:O13)=2,"",IF(AND(SUM(N13:O13)=0,P13&lt;0),0,Q13/100))</f>
        <v>0.31</v>
      </c>
      <c r="S13" s="7" t="str">
        <f>IF(R13="","ni opravljal izpita",IF(R13&lt;$U$3,"negativno",LOOKUP(R13,$U$3:$U$7,$V$3:$V$7)))</f>
        <v>negativno</v>
      </c>
      <c r="W13" s="5">
        <v>3</v>
      </c>
      <c r="X13" s="5">
        <v>7</v>
      </c>
      <c r="Y13" s="3">
        <f t="shared" si="0"/>
        <v>15</v>
      </c>
      <c r="Z13" s="2">
        <f t="shared" si="1"/>
        <v>0.13043478260869565</v>
      </c>
      <c r="AA13" s="3">
        <f t="shared" ref="AA13:AA17" si="4">AA12+Y13</f>
        <v>63</v>
      </c>
      <c r="AB13" s="2">
        <f t="shared" si="2"/>
        <v>0.54782608695652169</v>
      </c>
      <c r="AC13" s="16">
        <f t="shared" si="3"/>
        <v>46.95652173913043</v>
      </c>
    </row>
    <row r="14" spans="1:29" x14ac:dyDescent="0.25">
      <c r="A14" s="5">
        <v>27101388</v>
      </c>
      <c r="B14" s="5" t="s">
        <v>38</v>
      </c>
      <c r="C14" s="5" t="s">
        <v>1</v>
      </c>
      <c r="D14" s="3">
        <v>2</v>
      </c>
      <c r="E14" s="3">
        <v>2</v>
      </c>
      <c r="F14" s="3">
        <v>1</v>
      </c>
      <c r="G14" s="3">
        <v>2</v>
      </c>
      <c r="H14" s="3"/>
      <c r="I14" s="3"/>
      <c r="J14" s="3"/>
      <c r="K14" s="3">
        <v>2</v>
      </c>
      <c r="L14" s="3">
        <v>2</v>
      </c>
      <c r="M14" s="3">
        <v>2</v>
      </c>
      <c r="N14" s="3">
        <v>0</v>
      </c>
      <c r="O14" s="3">
        <v>13</v>
      </c>
      <c r="P14" s="7">
        <f>IF(COUNTBLANK(D14:M14)=10,"",SUM(D14:M14))</f>
        <v>13</v>
      </c>
      <c r="Q14" s="7">
        <f>IF(COUNTBLANK(D14:O14)=12,"",MAX(N14+P14,O14+0.5*P14))</f>
        <v>19.5</v>
      </c>
      <c r="R14" s="8">
        <f>IF(COUNTBLANK(N14:O14)=2,"",IF(AND(SUM(N14:O14)=0,P14&lt;0),0,Q14/100))</f>
        <v>0.19500000000000001</v>
      </c>
      <c r="S14" s="7" t="str">
        <f>IF(R14="","ni opravljal izpita",IF(R14&lt;$U$3,"negativno",LOOKUP(R14,$U$3:$U$7,$V$3:$V$7)))</f>
        <v>negativno</v>
      </c>
      <c r="W14" s="5">
        <v>4</v>
      </c>
      <c r="X14" s="5">
        <v>8</v>
      </c>
      <c r="Y14" s="3">
        <f t="shared" si="0"/>
        <v>8</v>
      </c>
      <c r="Z14" s="2">
        <f t="shared" si="1"/>
        <v>6.9565217391304349E-2</v>
      </c>
      <c r="AA14" s="3">
        <f t="shared" si="4"/>
        <v>71</v>
      </c>
      <c r="AB14" s="2">
        <f t="shared" si="2"/>
        <v>0.61739130434782608</v>
      </c>
      <c r="AC14" s="16">
        <f t="shared" si="3"/>
        <v>25.043478260869566</v>
      </c>
    </row>
    <row r="15" spans="1:29" x14ac:dyDescent="0.25">
      <c r="A15" s="12">
        <v>27040180.850000001</v>
      </c>
      <c r="B15" s="5" t="s">
        <v>63</v>
      </c>
      <c r="C15" s="5" t="s">
        <v>61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0</v>
      </c>
      <c r="J15" s="3">
        <v>2</v>
      </c>
      <c r="K15" s="3">
        <v>2</v>
      </c>
      <c r="L15" s="3">
        <v>2</v>
      </c>
      <c r="M15" s="3">
        <v>2</v>
      </c>
      <c r="N15" s="3">
        <v>64</v>
      </c>
      <c r="O15" s="3"/>
      <c r="P15" s="7">
        <f>IF(COUNTBLANK(D15:M15)=10,"",SUM(D15:M15))</f>
        <v>18</v>
      </c>
      <c r="Q15" s="7">
        <f>IF(COUNTBLANK(D15:O15)=12,"",MAX(N15+P15,O15+0.5*P15))</f>
        <v>82</v>
      </c>
      <c r="R15" s="8">
        <f>IF(COUNTBLANK(N15:O15)=2,"",IF(AND(SUM(N15:O15)=0,P15&lt;0),0,Q15/100))</f>
        <v>0.82</v>
      </c>
      <c r="S15" s="7">
        <f>IF(R15="","ni opravljal izpita",IF(R15&lt;$U$3,"negativno",LOOKUP(R15,$U$3:$U$7,$V$3:$V$7)))</f>
        <v>9</v>
      </c>
      <c r="W15" s="5">
        <v>5</v>
      </c>
      <c r="X15" s="5">
        <v>9</v>
      </c>
      <c r="Y15" s="3">
        <f t="shared" si="0"/>
        <v>6</v>
      </c>
      <c r="Z15" s="2">
        <f t="shared" si="1"/>
        <v>5.2173913043478258E-2</v>
      </c>
      <c r="AA15" s="3">
        <f t="shared" si="4"/>
        <v>77</v>
      </c>
      <c r="AB15" s="2">
        <f t="shared" si="2"/>
        <v>0.66956521739130437</v>
      </c>
      <c r="AC15" s="16">
        <f t="shared" si="3"/>
        <v>18.782608695652172</v>
      </c>
    </row>
    <row r="16" spans="1:29" x14ac:dyDescent="0.25">
      <c r="A16" s="5">
        <v>26992442</v>
      </c>
      <c r="B16" s="5" t="s">
        <v>55</v>
      </c>
      <c r="C16" s="5" t="s">
        <v>61</v>
      </c>
      <c r="D16" s="3">
        <v>1</v>
      </c>
      <c r="E16" s="3">
        <v>1</v>
      </c>
      <c r="F16" s="3">
        <v>2</v>
      </c>
      <c r="G16" s="3">
        <v>1</v>
      </c>
      <c r="H16" s="3">
        <v>2</v>
      </c>
      <c r="I16" s="3">
        <v>2</v>
      </c>
      <c r="J16" s="3">
        <v>2</v>
      </c>
      <c r="K16" s="3">
        <v>1</v>
      </c>
      <c r="L16" s="3">
        <v>2</v>
      </c>
      <c r="M16" s="3">
        <v>2</v>
      </c>
      <c r="N16" s="3"/>
      <c r="O16" s="3"/>
      <c r="P16" s="7">
        <f>IF(COUNTBLANK(D16:M16)=10,"",SUM(D16:M16))</f>
        <v>16</v>
      </c>
      <c r="Q16" s="7">
        <f>IF(COUNTBLANK(D16:O16)=12,"",MAX(N16+P16,O16+0.5*P16))</f>
        <v>16</v>
      </c>
      <c r="R16" s="8" t="str">
        <f>IF(COUNTBLANK(N16:O16)=2,"",IF(AND(SUM(N16:O16)=0,P16&lt;0),0,Q16/100))</f>
        <v/>
      </c>
      <c r="S16" s="7" t="str">
        <f>IF(R16="","ni opravljal izpita",IF(R16&lt;$U$3,"negativno",LOOKUP(R16,$U$3:$U$7,$V$3:$V$7)))</f>
        <v>ni opravljal izpita</v>
      </c>
      <c r="W16" s="5">
        <v>6</v>
      </c>
      <c r="X16" s="5">
        <v>10</v>
      </c>
      <c r="Y16" s="3">
        <f t="shared" si="0"/>
        <v>4</v>
      </c>
      <c r="Z16" s="2">
        <f t="shared" si="1"/>
        <v>3.4782608695652174E-2</v>
      </c>
      <c r="AA16" s="3">
        <f t="shared" si="4"/>
        <v>81</v>
      </c>
      <c r="AB16" s="2">
        <f t="shared" si="2"/>
        <v>0.70434782608695656</v>
      </c>
      <c r="AC16" s="16">
        <f t="shared" si="3"/>
        <v>12.521739130434783</v>
      </c>
    </row>
    <row r="17" spans="1:29" x14ac:dyDescent="0.25">
      <c r="A17" s="12">
        <v>27031340.329999998</v>
      </c>
      <c r="B17" s="5" t="s">
        <v>55</v>
      </c>
      <c r="C17" s="5" t="s">
        <v>61</v>
      </c>
      <c r="D17" s="3">
        <v>1</v>
      </c>
      <c r="E17" s="3">
        <v>1</v>
      </c>
      <c r="F17" s="3">
        <v>1</v>
      </c>
      <c r="G17" s="3">
        <v>1</v>
      </c>
      <c r="H17" s="3">
        <v>2</v>
      </c>
      <c r="I17" s="3"/>
      <c r="J17" s="3">
        <v>0</v>
      </c>
      <c r="K17" s="3"/>
      <c r="L17" s="3">
        <v>2</v>
      </c>
      <c r="M17" s="3"/>
      <c r="N17" s="3">
        <v>47</v>
      </c>
      <c r="O17" s="3"/>
      <c r="P17" s="7">
        <f>IF(COUNTBLANK(D17:M17)=10,"",SUM(D17:M17))</f>
        <v>8</v>
      </c>
      <c r="Q17" s="7">
        <f>IF(COUNTBLANK(D17:O17)=12,"",MAX(N17+P17,O17+0.5*P17))</f>
        <v>55</v>
      </c>
      <c r="R17" s="8">
        <f>IF(COUNTBLANK(N17:O17)=2,"",IF(AND(SUM(N17:O17)=0,P17&lt;0),0,Q17/100))</f>
        <v>0.55000000000000004</v>
      </c>
      <c r="S17" s="7">
        <f>IF(R17="","ni opravljal izpita",IF(R17&lt;$U$3,"negativno",LOOKUP(R17,$U$3:$U$7,$V$3:$V$7)))</f>
        <v>6</v>
      </c>
      <c r="W17" s="5">
        <v>7</v>
      </c>
      <c r="X17" s="5" t="s">
        <v>111</v>
      </c>
      <c r="Y17" s="3">
        <f t="shared" si="0"/>
        <v>34</v>
      </c>
      <c r="Z17" s="2">
        <f t="shared" si="1"/>
        <v>0.29565217391304349</v>
      </c>
      <c r="AA17" s="3">
        <f t="shared" si="4"/>
        <v>115</v>
      </c>
      <c r="AB17" s="2">
        <f t="shared" si="2"/>
        <v>1</v>
      </c>
      <c r="AC17" s="16">
        <f t="shared" si="3"/>
        <v>106.43478260869566</v>
      </c>
    </row>
    <row r="18" spans="1:29" x14ac:dyDescent="0.25">
      <c r="A18" s="12">
        <v>27059630.02</v>
      </c>
      <c r="B18" s="5" t="s">
        <v>55</v>
      </c>
      <c r="C18" s="5" t="s">
        <v>1</v>
      </c>
      <c r="D18" s="3">
        <v>1</v>
      </c>
      <c r="E18" s="3"/>
      <c r="F18" s="3">
        <v>1</v>
      </c>
      <c r="G18" s="3">
        <v>1</v>
      </c>
      <c r="H18" s="3"/>
      <c r="I18" s="3">
        <v>0</v>
      </c>
      <c r="J18" s="3"/>
      <c r="K18" s="3"/>
      <c r="L18" s="3"/>
      <c r="M18" s="3"/>
      <c r="N18" s="3"/>
      <c r="O18" s="3"/>
      <c r="P18" s="7">
        <f>IF(COUNTBLANK(D18:M18)=10,"",SUM(D18:M18))</f>
        <v>3</v>
      </c>
      <c r="Q18" s="7">
        <f>IF(COUNTBLANK(D18:O18)=12,"",MAX(N18+P18,O18+0.5*P18))</f>
        <v>3</v>
      </c>
      <c r="R18" s="8" t="str">
        <f>IF(COUNTBLANK(N18:O18)=2,"",IF(AND(SUM(N18:O18)=0,P18&lt;0),0,Q18/100))</f>
        <v/>
      </c>
      <c r="S18" s="7" t="str">
        <f>IF(R18="","ni opravljal izpita",IF(R18&lt;$U$3,"negativno",LOOKUP(R18,$U$3:$U$7,$V$3:$V$7)))</f>
        <v>ni opravljal izpita</v>
      </c>
      <c r="X18" s="10" t="s">
        <v>103</v>
      </c>
      <c r="Y18" s="5">
        <f>SUM(Y11:Y17)</f>
        <v>115</v>
      </c>
      <c r="Z18" s="13">
        <f t="shared" ref="Z18" si="5">SUM(Z11:Z17)</f>
        <v>1.0000000000000002</v>
      </c>
      <c r="AA18" s="15"/>
      <c r="AB18" s="14"/>
      <c r="AC18" s="5">
        <f>SUM(AC11:AC17)</f>
        <v>360</v>
      </c>
    </row>
    <row r="19" spans="1:29" x14ac:dyDescent="0.25">
      <c r="A19" s="5">
        <v>26985369</v>
      </c>
      <c r="B19" s="5" t="s">
        <v>77</v>
      </c>
      <c r="C19" s="5" t="s">
        <v>61</v>
      </c>
      <c r="D19" s="3">
        <v>0</v>
      </c>
      <c r="E19" s="3">
        <v>0</v>
      </c>
      <c r="F19" s="3">
        <v>1</v>
      </c>
      <c r="G19" s="3">
        <v>0</v>
      </c>
      <c r="H19" s="3">
        <v>2</v>
      </c>
      <c r="I19" s="3"/>
      <c r="J19" s="3"/>
      <c r="K19" s="3"/>
      <c r="L19" s="3"/>
      <c r="M19" s="3"/>
      <c r="N19" s="3"/>
      <c r="O19" s="3"/>
      <c r="P19" s="7">
        <f>IF(COUNTBLANK(D19:M19)=10,"",SUM(D19:M19))</f>
        <v>3</v>
      </c>
      <c r="Q19" s="7">
        <f>IF(COUNTBLANK(D19:O19)=12,"",MAX(N19+P19,O19+0.5*P19))</f>
        <v>3</v>
      </c>
      <c r="R19" s="8" t="str">
        <f>IF(COUNTBLANK(N19:O19)=2,"",IF(AND(SUM(N19:O19)=0,P19&lt;0),0,Q19/100))</f>
        <v/>
      </c>
      <c r="S19" s="7" t="str">
        <f>IF(R19="","ni opravljal izpita",IF(R19&lt;$U$3,"negativno",LOOKUP(R19,$U$3:$U$7,$V$3:$V$7)))</f>
        <v>ni opravljal izpita</v>
      </c>
      <c r="U19" s="1"/>
    </row>
    <row r="20" spans="1:29" x14ac:dyDescent="0.25">
      <c r="A20" s="5">
        <v>27091376</v>
      </c>
      <c r="B20" s="5" t="s">
        <v>79</v>
      </c>
      <c r="C20" s="5" t="s">
        <v>1</v>
      </c>
      <c r="D20" s="3">
        <v>1</v>
      </c>
      <c r="E20" s="3"/>
      <c r="F20" s="3"/>
      <c r="G20" s="3"/>
      <c r="H20" s="3">
        <v>1</v>
      </c>
      <c r="I20" s="3"/>
      <c r="J20" s="3">
        <v>2</v>
      </c>
      <c r="K20" s="3"/>
      <c r="L20" s="3"/>
      <c r="M20" s="3">
        <v>2</v>
      </c>
      <c r="N20" s="3">
        <v>39</v>
      </c>
      <c r="O20" s="3">
        <v>31</v>
      </c>
      <c r="P20" s="7">
        <f>IF(COUNTBLANK(D20:M20)=10,"",SUM(D20:M20))</f>
        <v>6</v>
      </c>
      <c r="Q20" s="7">
        <f>IF(COUNTBLANK(D20:O20)=12,"",MAX(N20+P20,O20+0.5*P20))</f>
        <v>45</v>
      </c>
      <c r="R20" s="8">
        <f>IF(COUNTBLANK(N20:O20)=2,"",IF(AND(SUM(N20:O20)=0,P20&lt;0),0,Q20/100))</f>
        <v>0.45</v>
      </c>
      <c r="S20" s="7" t="str">
        <f>IF(R20="","ni opravljal izpita",IF(R20&lt;$U$3,"negativno",LOOKUP(R20,$U$3:$U$7,$V$3:$V$7)))</f>
        <v>negativno</v>
      </c>
      <c r="U20" s="1"/>
      <c r="X20" s="10" t="s">
        <v>117</v>
      </c>
      <c r="Y20" s="3">
        <f>AVERAGE(S3:S117)</f>
        <v>7.4130434782608692</v>
      </c>
    </row>
    <row r="21" spans="1:29" x14ac:dyDescent="0.25">
      <c r="A21" s="5">
        <v>27090944</v>
      </c>
      <c r="B21" s="5" t="s">
        <v>82</v>
      </c>
      <c r="C21" s="5" t="s">
        <v>1</v>
      </c>
      <c r="D21" s="3">
        <v>1</v>
      </c>
      <c r="E21" s="3">
        <v>0</v>
      </c>
      <c r="F21" s="3">
        <v>1</v>
      </c>
      <c r="G21" s="3"/>
      <c r="H21" s="3"/>
      <c r="I21" s="3"/>
      <c r="J21" s="3"/>
      <c r="K21" s="3"/>
      <c r="L21" s="3"/>
      <c r="M21" s="3"/>
      <c r="N21" s="3">
        <v>5</v>
      </c>
      <c r="O21" s="3"/>
      <c r="P21" s="7">
        <f>IF(COUNTBLANK(D21:M21)=10,"",SUM(D21:M21))</f>
        <v>2</v>
      </c>
      <c r="Q21" s="7">
        <f>IF(COUNTBLANK(D21:O21)=12,"",MAX(N21+P21,O21+0.5*P21))</f>
        <v>7</v>
      </c>
      <c r="R21" s="8">
        <f>IF(COUNTBLANK(N21:O21)=2,"",IF(AND(SUM(N21:O21)=0,P21&lt;0),0,Q21/100))</f>
        <v>7.0000000000000007E-2</v>
      </c>
      <c r="S21" s="7" t="str">
        <f>IF(R21="","ni opravljal izpita",IF(R21&lt;$U$3,"negativno",LOOKUP(R21,$U$3:$U$7,$V$3:$V$7)))</f>
        <v>negativno</v>
      </c>
      <c r="U21" s="1"/>
      <c r="X21" s="10" t="s">
        <v>118</v>
      </c>
      <c r="Y21" s="3">
        <f>MODE(S3:S117)</f>
        <v>7</v>
      </c>
    </row>
    <row r="22" spans="1:29" x14ac:dyDescent="0.25">
      <c r="A22" s="5">
        <v>27101870</v>
      </c>
      <c r="B22" s="5" t="s">
        <v>17</v>
      </c>
      <c r="C22" s="5" t="s">
        <v>1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0</v>
      </c>
      <c r="J22" s="3">
        <v>2</v>
      </c>
      <c r="K22" s="3">
        <v>1</v>
      </c>
      <c r="L22" s="3">
        <v>1</v>
      </c>
      <c r="M22" s="3">
        <v>2</v>
      </c>
      <c r="N22" s="3">
        <v>53</v>
      </c>
      <c r="O22" s="3"/>
      <c r="P22" s="7">
        <f>IF(COUNTBLANK(D22:M22)=10,"",SUM(D22:M22))</f>
        <v>16</v>
      </c>
      <c r="Q22" s="7">
        <f>IF(COUNTBLANK(D22:O22)=12,"",MAX(N22+P22,O22+0.5*P22))</f>
        <v>69</v>
      </c>
      <c r="R22" s="8">
        <f>IF(COUNTBLANK(N22:O22)=2,"",IF(AND(SUM(N22:O22)=0,P22&lt;0),0,Q22/100))</f>
        <v>0.69</v>
      </c>
      <c r="S22" s="7">
        <f>IF(R22="","ni opravljal izpita",IF(R22&lt;$U$3,"negativno",LOOKUP(R22,$U$3:$U$7,$V$3:$V$7)))</f>
        <v>7</v>
      </c>
      <c r="U22" s="1"/>
    </row>
    <row r="23" spans="1:29" x14ac:dyDescent="0.25">
      <c r="A23" s="5">
        <v>27101958</v>
      </c>
      <c r="B23" s="5" t="s">
        <v>10</v>
      </c>
      <c r="C23" s="5" t="s">
        <v>1</v>
      </c>
      <c r="D23" s="3">
        <v>2</v>
      </c>
      <c r="E23" s="3">
        <v>2</v>
      </c>
      <c r="F23" s="3"/>
      <c r="G23" s="3">
        <v>1</v>
      </c>
      <c r="H23" s="3">
        <v>2</v>
      </c>
      <c r="I23" s="3">
        <v>0</v>
      </c>
      <c r="J23" s="3"/>
      <c r="K23" s="3">
        <v>2</v>
      </c>
      <c r="L23" s="3">
        <v>1</v>
      </c>
      <c r="M23" s="3">
        <v>2</v>
      </c>
      <c r="N23" s="3">
        <v>55</v>
      </c>
      <c r="O23" s="3"/>
      <c r="P23" s="7">
        <f>IF(COUNTBLANK(D23:M23)=10,"",SUM(D23:M23))</f>
        <v>12</v>
      </c>
      <c r="Q23" s="7">
        <f>IF(COUNTBLANK(D23:O23)=12,"",MAX(N23+P23,O23+0.5*P23))</f>
        <v>67</v>
      </c>
      <c r="R23" s="8">
        <f>IF(COUNTBLANK(N23:O23)=2,"",IF(AND(SUM(N23:O23)=0,P23&lt;0),0,Q23/100))</f>
        <v>0.67</v>
      </c>
      <c r="S23" s="7">
        <f>IF(R23="","ni opravljal izpita",IF(R23&lt;$U$3,"negativno",LOOKUP(R23,$U$3:$U$7,$V$3:$V$7)))</f>
        <v>7</v>
      </c>
      <c r="W23" s="17" t="s">
        <v>131</v>
      </c>
      <c r="X23" s="17"/>
      <c r="Y23" s="17"/>
      <c r="Z23" s="17"/>
      <c r="AA23" s="17"/>
      <c r="AB23" s="17"/>
      <c r="AC23" s="17"/>
    </row>
    <row r="24" spans="1:29" ht="18" x14ac:dyDescent="0.35">
      <c r="A24" s="5">
        <v>27101679</v>
      </c>
      <c r="B24" s="5" t="s">
        <v>28</v>
      </c>
      <c r="C24" s="5" t="s">
        <v>1</v>
      </c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>
        <v>30</v>
      </c>
      <c r="O24" s="3"/>
      <c r="P24" s="7">
        <f>IF(COUNTBLANK(D24:M24)=10,"",SUM(D24:M24))</f>
        <v>2</v>
      </c>
      <c r="Q24" s="7">
        <f>IF(COUNTBLANK(D24:O24)=12,"",MAX(N24+P24,O24+0.5*P24))</f>
        <v>32</v>
      </c>
      <c r="R24" s="8">
        <f>IF(COUNTBLANK(N24:O24)=2,"",IF(AND(SUM(N24:O24)=0,P24&lt;0),0,Q24/100))</f>
        <v>0.32</v>
      </c>
      <c r="S24" s="7" t="str">
        <f>IF(R24="","ni opravljal izpita",IF(R24&lt;$U$3,"negativno",LOOKUP(R24,$U$3:$U$7,$V$3:$V$7)))</f>
        <v>negativno</v>
      </c>
      <c r="W24" s="10" t="s">
        <v>125</v>
      </c>
      <c r="X24" s="10" t="s">
        <v>128</v>
      </c>
      <c r="Y24" s="10" t="s">
        <v>129</v>
      </c>
      <c r="Z24" s="10" t="s">
        <v>132</v>
      </c>
      <c r="AA24" s="10" t="s">
        <v>133</v>
      </c>
      <c r="AB24" s="10" t="s">
        <v>130</v>
      </c>
      <c r="AC24" s="10" t="s">
        <v>108</v>
      </c>
    </row>
    <row r="25" spans="1:29" x14ac:dyDescent="0.25">
      <c r="A25" s="5">
        <v>27101909</v>
      </c>
      <c r="B25" s="5" t="s">
        <v>14</v>
      </c>
      <c r="C25" s="5" t="s">
        <v>1</v>
      </c>
      <c r="D25" s="3">
        <v>2</v>
      </c>
      <c r="E25" s="3">
        <v>2</v>
      </c>
      <c r="F25" s="3">
        <v>2</v>
      </c>
      <c r="G25" s="3">
        <v>1</v>
      </c>
      <c r="H25" s="3">
        <v>2</v>
      </c>
      <c r="I25" s="3">
        <v>1</v>
      </c>
      <c r="J25" s="3">
        <v>1</v>
      </c>
      <c r="K25" s="3">
        <v>2</v>
      </c>
      <c r="L25" s="3">
        <v>2</v>
      </c>
      <c r="M25" s="3">
        <v>2</v>
      </c>
      <c r="N25" s="3">
        <v>50</v>
      </c>
      <c r="O25" s="3"/>
      <c r="P25" s="7">
        <f>IF(COUNTBLANK(D25:M25)=10,"",SUM(D25:M25))</f>
        <v>17</v>
      </c>
      <c r="Q25" s="7">
        <f>IF(COUNTBLANK(D25:O25)=12,"",MAX(N25+P25,O25+0.5*P25))</f>
        <v>67</v>
      </c>
      <c r="R25" s="8">
        <f>IF(COUNTBLANK(N25:O25)=2,"",IF(AND(SUM(N25:O25)=0,P25&lt;0),0,Q25/100))</f>
        <v>0.67</v>
      </c>
      <c r="S25" s="7">
        <f>IF(R25="","ni opravljal izpita",IF(R25&lt;$U$3,"negativno",LOOKUP(R25,$U$3:$U$7,$V$3:$V$7)))</f>
        <v>7</v>
      </c>
      <c r="W25" s="5">
        <v>1</v>
      </c>
      <c r="X25" s="3">
        <v>0</v>
      </c>
      <c r="Y25" s="3">
        <v>50</v>
      </c>
      <c r="Z25" s="3">
        <f>Y25-X25</f>
        <v>50</v>
      </c>
      <c r="AA25" s="3">
        <f>(Y25+X25)/2</f>
        <v>25</v>
      </c>
      <c r="AB25" s="3" cm="1">
        <f t="array" ref="AB25:AB29">FREQUENCY(N3:N117,Y25:Y28)</f>
        <v>56</v>
      </c>
      <c r="AC25" s="3">
        <v>1</v>
      </c>
    </row>
    <row r="26" spans="1:29" x14ac:dyDescent="0.25">
      <c r="A26" s="12">
        <v>27057861.91</v>
      </c>
      <c r="B26" s="5" t="s">
        <v>56</v>
      </c>
      <c r="C26" s="5" t="s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7" t="str">
        <f>IF(COUNTBLANK(D26:M26)=10,"",SUM(D26:M26))</f>
        <v/>
      </c>
      <c r="Q26" s="7" t="str">
        <f>IF(COUNTBLANK(D26:O26)=12,"",MAX(N26+P26,O26+0.5*P26))</f>
        <v/>
      </c>
      <c r="R26" s="8" t="str">
        <f>IF(COUNTBLANK(N26:O26)=2,"",IF(AND(SUM(N26:O26)=0,P26&lt;0),0,Q26/100))</f>
        <v/>
      </c>
      <c r="S26" s="7" t="str">
        <f>IF(R26="","ni opravljal izpita",IF(R26&lt;$U$3,"negativno",LOOKUP(R26,$U$3:$U$7,$V$3:$V$7)))</f>
        <v>ni opravljal izpita</v>
      </c>
      <c r="W26" s="5">
        <v>2</v>
      </c>
      <c r="X26" s="3">
        <v>50</v>
      </c>
      <c r="Y26" s="3">
        <v>62</v>
      </c>
      <c r="Z26" s="3">
        <f t="shared" ref="Z26:Z29" si="6">Y26-X26</f>
        <v>12</v>
      </c>
      <c r="AA26" s="3">
        <f t="shared" ref="AA26:AA29" si="7">(Y26+X26)/2</f>
        <v>56</v>
      </c>
      <c r="AB26" s="3">
        <v>11</v>
      </c>
      <c r="AC26" s="3">
        <v>2</v>
      </c>
    </row>
    <row r="27" spans="1:29" x14ac:dyDescent="0.25">
      <c r="A27" s="5">
        <v>27201150</v>
      </c>
      <c r="B27" s="5" t="s">
        <v>56</v>
      </c>
      <c r="C27" s="5" t="s">
        <v>61</v>
      </c>
      <c r="D27" s="3">
        <v>1</v>
      </c>
      <c r="E27" s="3">
        <v>1</v>
      </c>
      <c r="F27" s="3">
        <v>2</v>
      </c>
      <c r="G27" s="3">
        <v>1</v>
      </c>
      <c r="H27" s="3"/>
      <c r="I27" s="3">
        <v>0</v>
      </c>
      <c r="J27" s="3">
        <v>0</v>
      </c>
      <c r="K27" s="3">
        <v>1</v>
      </c>
      <c r="L27" s="3"/>
      <c r="M27" s="3">
        <v>1</v>
      </c>
      <c r="N27" s="3">
        <v>31</v>
      </c>
      <c r="O27" s="3"/>
      <c r="P27" s="7">
        <f>IF(COUNTBLANK(D27:M27)=10,"",SUM(D27:M27))</f>
        <v>7</v>
      </c>
      <c r="Q27" s="7">
        <f>IF(COUNTBLANK(D27:O27)=12,"",MAX(N27+P27,O27+0.5*P27))</f>
        <v>38</v>
      </c>
      <c r="R27" s="8">
        <f>IF(COUNTBLANK(N27:O27)=2,"",IF(AND(SUM(N27:O27)=0,P27&lt;0),0,Q27/100))</f>
        <v>0.38</v>
      </c>
      <c r="S27" s="7" t="str">
        <f>IF(R27="","ni opravljal izpita",IF(R27&lt;$U$3,"negativno",LOOKUP(R27,$U$3:$U$7,$V$3:$V$7)))</f>
        <v>negativno</v>
      </c>
      <c r="W27" s="5">
        <v>3</v>
      </c>
      <c r="X27" s="3">
        <v>62</v>
      </c>
      <c r="Y27" s="3">
        <v>76</v>
      </c>
      <c r="Z27" s="3">
        <f t="shared" si="6"/>
        <v>14</v>
      </c>
      <c r="AA27" s="3">
        <f t="shared" si="7"/>
        <v>69</v>
      </c>
      <c r="AB27" s="3">
        <v>9</v>
      </c>
      <c r="AC27" s="3">
        <v>3</v>
      </c>
    </row>
    <row r="28" spans="1:29" x14ac:dyDescent="0.25">
      <c r="A28" s="12">
        <v>27047253.280000001</v>
      </c>
      <c r="B28" s="5" t="s">
        <v>58</v>
      </c>
      <c r="C28" s="5" t="s">
        <v>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7" t="str">
        <f>IF(COUNTBLANK(D28:M28)=10,"",SUM(D28:M28))</f>
        <v/>
      </c>
      <c r="Q28" s="7" t="str">
        <f>IF(COUNTBLANK(D28:O28)=12,"",MAX(N28+P28,O28+0.5*P28))</f>
        <v/>
      </c>
      <c r="R28" s="8" t="str">
        <f>IF(COUNTBLANK(N28:O28)=2,"",IF(AND(SUM(N28:O28)=0,P28&lt;0),0,Q28/100))</f>
        <v/>
      </c>
      <c r="S28" s="7" t="str">
        <f>IF(R28="","ni opravljal izpita",IF(R28&lt;$U$3,"negativno",LOOKUP(R28,$U$3:$U$7,$V$3:$V$7)))</f>
        <v>ni opravljal izpita</v>
      </c>
      <c r="W28" s="5">
        <v>4</v>
      </c>
      <c r="X28" s="3">
        <v>76</v>
      </c>
      <c r="Y28" s="3">
        <v>88</v>
      </c>
      <c r="Z28" s="3">
        <f t="shared" si="6"/>
        <v>12</v>
      </c>
      <c r="AA28" s="3">
        <f t="shared" si="7"/>
        <v>82</v>
      </c>
      <c r="AB28" s="3">
        <v>1</v>
      </c>
      <c r="AC28" s="3">
        <v>4</v>
      </c>
    </row>
    <row r="29" spans="1:29" x14ac:dyDescent="0.25">
      <c r="A29" s="12">
        <v>27029572.219999999</v>
      </c>
      <c r="B29" s="5" t="s">
        <v>3</v>
      </c>
      <c r="C29" s="5" t="s">
        <v>61</v>
      </c>
      <c r="D29" s="3">
        <v>2</v>
      </c>
      <c r="E29" s="3">
        <v>1</v>
      </c>
      <c r="F29" s="3">
        <v>1</v>
      </c>
      <c r="G29" s="3">
        <v>1</v>
      </c>
      <c r="H29" s="3">
        <v>2</v>
      </c>
      <c r="I29" s="3">
        <v>0</v>
      </c>
      <c r="J29" s="3"/>
      <c r="K29" s="3">
        <v>2</v>
      </c>
      <c r="L29" s="3">
        <v>2</v>
      </c>
      <c r="M29" s="3">
        <v>2</v>
      </c>
      <c r="N29" s="3">
        <v>38</v>
      </c>
      <c r="O29" s="3"/>
      <c r="P29" s="7">
        <f>IF(COUNTBLANK(D29:M29)=10,"",SUM(D29:M29))</f>
        <v>13</v>
      </c>
      <c r="Q29" s="7">
        <f>IF(COUNTBLANK(D29:O29)=12,"",MAX(N29+P29,O29+0.5*P29))</f>
        <v>51</v>
      </c>
      <c r="R29" s="8">
        <f>IF(COUNTBLANK(N29:O29)=2,"",IF(AND(SUM(N29:O29)=0,P29&lt;0),0,Q29/100))</f>
        <v>0.51</v>
      </c>
      <c r="S29" s="7">
        <f>IF(R29="","ni opravljal izpita",IF(R29&lt;$U$3,"negativno",LOOKUP(R29,$U$3:$U$7,$V$3:$V$7)))</f>
        <v>6</v>
      </c>
      <c r="W29" s="5">
        <v>5</v>
      </c>
      <c r="X29" s="3">
        <v>88</v>
      </c>
      <c r="Y29" s="3">
        <v>100</v>
      </c>
      <c r="Z29" s="3">
        <f t="shared" si="6"/>
        <v>12</v>
      </c>
      <c r="AA29" s="3">
        <f t="shared" si="7"/>
        <v>94</v>
      </c>
      <c r="AB29" s="3">
        <v>2</v>
      </c>
      <c r="AC29" s="3">
        <v>5</v>
      </c>
    </row>
    <row r="30" spans="1:29" x14ac:dyDescent="0.25">
      <c r="A30" s="5">
        <v>27101606</v>
      </c>
      <c r="B30" s="5" t="s">
        <v>3</v>
      </c>
      <c r="C30" s="5" t="s">
        <v>1</v>
      </c>
      <c r="D30" s="3"/>
      <c r="E30" s="3">
        <v>1</v>
      </c>
      <c r="F30" s="3">
        <v>1</v>
      </c>
      <c r="G30" s="3">
        <v>1</v>
      </c>
      <c r="H30" s="3"/>
      <c r="I30" s="3"/>
      <c r="J30" s="3"/>
      <c r="K30" s="3">
        <v>1</v>
      </c>
      <c r="L30" s="3">
        <v>0</v>
      </c>
      <c r="M30" s="3">
        <v>1</v>
      </c>
      <c r="N30" s="3">
        <v>20</v>
      </c>
      <c r="O30" s="3">
        <v>33</v>
      </c>
      <c r="P30" s="7">
        <f>IF(COUNTBLANK(D30:M30)=10,"",SUM(D30:M30))</f>
        <v>5</v>
      </c>
      <c r="Q30" s="7">
        <f>IF(COUNTBLANK(D30:O30)=12,"",MAX(N30+P30,O30+0.5*P30))</f>
        <v>35.5</v>
      </c>
      <c r="R30" s="8">
        <f>IF(COUNTBLANK(N30:O30)=2,"",IF(AND(SUM(N30:O30)=0,P30&lt;0),0,Q30/100))</f>
        <v>0.35499999999999998</v>
      </c>
      <c r="S30" s="7" t="str">
        <f>IF(R30="","ni opravljal izpita",IF(R30&lt;$U$3,"negativno",LOOKUP(R30,$U$3:$U$7,$V$3:$V$7)))</f>
        <v>negativno</v>
      </c>
      <c r="AA30" s="10" t="s">
        <v>103</v>
      </c>
      <c r="AB30" s="5">
        <f>SUM(_xlfn.ANCHORARRAY(AB25))</f>
        <v>79</v>
      </c>
    </row>
    <row r="31" spans="1:29" x14ac:dyDescent="0.25">
      <c r="A31" s="5">
        <v>27101643</v>
      </c>
      <c r="B31" s="5" t="s">
        <v>3</v>
      </c>
      <c r="C31" s="5" t="s">
        <v>1</v>
      </c>
      <c r="D31" s="3">
        <v>1</v>
      </c>
      <c r="E31" s="3">
        <v>2</v>
      </c>
      <c r="F31" s="3">
        <v>2</v>
      </c>
      <c r="G31" s="3">
        <v>1</v>
      </c>
      <c r="H31" s="3">
        <v>2</v>
      </c>
      <c r="I31" s="3">
        <v>0</v>
      </c>
      <c r="J31" s="3"/>
      <c r="K31" s="3"/>
      <c r="L31" s="3">
        <v>2</v>
      </c>
      <c r="M31" s="3">
        <v>2</v>
      </c>
      <c r="N31" s="3">
        <v>25</v>
      </c>
      <c r="O31" s="3">
        <v>30</v>
      </c>
      <c r="P31" s="7">
        <f>IF(COUNTBLANK(D31:M31)=10,"",SUM(D31:M31))</f>
        <v>12</v>
      </c>
      <c r="Q31" s="7">
        <f>IF(COUNTBLANK(D31:O31)=12,"",MAX(N31+P31,O31+0.5*P31))</f>
        <v>37</v>
      </c>
      <c r="R31" s="8">
        <f>IF(COUNTBLANK(N31:O31)=2,"",IF(AND(SUM(N31:O31)=0,P31&lt;0),0,Q31/100))</f>
        <v>0.37</v>
      </c>
      <c r="S31" s="7" t="str">
        <f>IF(R31="","ni opravljal izpita",IF(R31&lt;$U$3,"negativno",LOOKUP(R31,$U$3:$U$7,$V$3:$V$7)))</f>
        <v>negativno</v>
      </c>
      <c r="W31" s="10" t="s">
        <v>134</v>
      </c>
    </row>
    <row r="32" spans="1:29" x14ac:dyDescent="0.25">
      <c r="A32" s="5">
        <v>27101995</v>
      </c>
      <c r="B32" s="5" t="s">
        <v>3</v>
      </c>
      <c r="C32" s="5" t="s">
        <v>1</v>
      </c>
      <c r="D32" s="3">
        <v>2</v>
      </c>
      <c r="E32" s="3">
        <v>2</v>
      </c>
      <c r="F32" s="3">
        <v>2</v>
      </c>
      <c r="G32" s="3">
        <v>0</v>
      </c>
      <c r="H32" s="3">
        <v>2</v>
      </c>
      <c r="I32" s="3">
        <v>2</v>
      </c>
      <c r="J32" s="3"/>
      <c r="K32" s="3">
        <v>1</v>
      </c>
      <c r="L32" s="3">
        <v>2</v>
      </c>
      <c r="M32" s="3">
        <v>1</v>
      </c>
      <c r="N32" s="3">
        <v>68</v>
      </c>
      <c r="O32" s="3"/>
      <c r="P32" s="7">
        <f>IF(COUNTBLANK(D32:M32)=10,"",SUM(D32:M32))</f>
        <v>14</v>
      </c>
      <c r="Q32" s="7">
        <f>IF(COUNTBLANK(D32:O32)=12,"",MAX(N32+P32,O32+0.5*P32))</f>
        <v>82</v>
      </c>
      <c r="R32" s="8">
        <f>IF(COUNTBLANK(N32:O32)=2,"",IF(AND(SUM(N32:O32)=0,P32&lt;0),0,Q32/100))</f>
        <v>0.82</v>
      </c>
      <c r="S32" s="7">
        <f>IF(R32="","ni opravljal izpita",IF(R32&lt;$U$3,"negativno",LOOKUP(R32,$U$3:$U$7,$V$3:$V$7)))</f>
        <v>9</v>
      </c>
      <c r="W32" s="5" t="s">
        <v>135</v>
      </c>
      <c r="X32" s="3">
        <f>QUARTILE(Q3:Q117,1)</f>
        <v>14.5</v>
      </c>
    </row>
    <row r="33" spans="1:24" x14ac:dyDescent="0.25">
      <c r="A33" s="5">
        <v>27102186</v>
      </c>
      <c r="B33" s="5" t="s">
        <v>3</v>
      </c>
      <c r="C33" s="5" t="s">
        <v>1</v>
      </c>
      <c r="D33" s="3">
        <v>2</v>
      </c>
      <c r="E33" s="3">
        <v>1</v>
      </c>
      <c r="F33" s="3">
        <v>2</v>
      </c>
      <c r="G33" s="3">
        <v>2</v>
      </c>
      <c r="H33" s="3">
        <v>2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75</v>
      </c>
      <c r="O33" s="3"/>
      <c r="P33" s="7">
        <f>IF(COUNTBLANK(D33:M33)=10,"",SUM(D33:M33))</f>
        <v>11</v>
      </c>
      <c r="Q33" s="7">
        <f>IF(COUNTBLANK(D33:O33)=12,"",MAX(N33+P33,O33+0.5*P33))</f>
        <v>86</v>
      </c>
      <c r="R33" s="8">
        <f>IF(COUNTBLANK(N33:O33)=2,"",IF(AND(SUM(N33:O33)=0,P33&lt;0),0,Q33/100))</f>
        <v>0.86</v>
      </c>
      <c r="S33" s="7">
        <f>IF(R33="","ni opravljal izpita",IF(R33&lt;$U$3,"negativno",LOOKUP(R33,$U$3:$U$7,$V$3:$V$7)))</f>
        <v>9</v>
      </c>
      <c r="W33" s="5" t="s">
        <v>136</v>
      </c>
      <c r="X33" s="3">
        <f>QUARTILE(Q3:Q117,2)</f>
        <v>45</v>
      </c>
    </row>
    <row r="34" spans="1:24" x14ac:dyDescent="0.25">
      <c r="A34" s="5">
        <v>27020731</v>
      </c>
      <c r="B34" s="5" t="s">
        <v>67</v>
      </c>
      <c r="C34" s="5" t="s">
        <v>61</v>
      </c>
      <c r="D34" s="3">
        <v>1</v>
      </c>
      <c r="E34" s="3">
        <v>1</v>
      </c>
      <c r="F34" s="3">
        <v>2</v>
      </c>
      <c r="G34" s="3">
        <v>2</v>
      </c>
      <c r="H34" s="3">
        <v>1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37</v>
      </c>
      <c r="O34" s="3"/>
      <c r="P34" s="7">
        <f>IF(COUNTBLANK(D34:M34)=10,"",SUM(D34:M34))</f>
        <v>8</v>
      </c>
      <c r="Q34" s="7">
        <f>IF(COUNTBLANK(D34:O34)=12,"",MAX(N34+P34,O34+0.5*P34))</f>
        <v>45</v>
      </c>
      <c r="R34" s="8">
        <f>IF(COUNTBLANK(N34:O34)=2,"",IF(AND(SUM(N34:O34)=0,P34&lt;0),0,Q34/100))</f>
        <v>0.45</v>
      </c>
      <c r="S34" s="7" t="str">
        <f>IF(R34="","ni opravljal izpita",IF(R34&lt;$U$3,"negativno",LOOKUP(R34,$U$3:$U$7,$V$3:$V$7)))</f>
        <v>negativno</v>
      </c>
      <c r="W34" s="5" t="s">
        <v>137</v>
      </c>
      <c r="X34" s="3">
        <f>QUARTILE(Q3:Q117,3)</f>
        <v>66.5</v>
      </c>
    </row>
    <row r="35" spans="1:24" x14ac:dyDescent="0.25">
      <c r="A35" s="5">
        <v>27101808</v>
      </c>
      <c r="B35" s="5" t="s">
        <v>22</v>
      </c>
      <c r="C35" s="5" t="s">
        <v>1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  <c r="I35" s="3">
        <v>1</v>
      </c>
      <c r="J35" s="3">
        <v>2</v>
      </c>
      <c r="K35" s="3">
        <v>1</v>
      </c>
      <c r="L35" s="3">
        <v>2</v>
      </c>
      <c r="M35" s="3">
        <v>2</v>
      </c>
      <c r="N35" s="3">
        <v>48</v>
      </c>
      <c r="O35" s="3"/>
      <c r="P35" s="7">
        <f>IF(COUNTBLANK(D35:M35)=10,"",SUM(D35:M35))</f>
        <v>18</v>
      </c>
      <c r="Q35" s="7">
        <f>IF(COUNTBLANK(D35:O35)=12,"",MAX(N35+P35,O35+0.5*P35))</f>
        <v>66</v>
      </c>
      <c r="R35" s="8">
        <f>IF(COUNTBLANK(N35:O35)=2,"",IF(AND(SUM(N35:O35)=0,P35&lt;0),0,Q35/100))</f>
        <v>0.66</v>
      </c>
      <c r="S35" s="7">
        <f>IF(R35="","ni opravljal izpita",IF(R35&lt;$U$3,"negativno",LOOKUP(R35,$U$3:$U$7,$V$3:$V$7)))</f>
        <v>7</v>
      </c>
    </row>
    <row r="36" spans="1:24" x14ac:dyDescent="0.25">
      <c r="A36" s="5">
        <v>27004818</v>
      </c>
      <c r="B36" s="5" t="s">
        <v>71</v>
      </c>
      <c r="C36" s="5" t="s">
        <v>61</v>
      </c>
      <c r="D36" s="3">
        <v>2</v>
      </c>
      <c r="E36" s="3">
        <v>2</v>
      </c>
      <c r="F36" s="3">
        <v>2</v>
      </c>
      <c r="G36" s="3">
        <v>1</v>
      </c>
      <c r="H36" s="3">
        <v>2</v>
      </c>
      <c r="I36" s="3">
        <v>1</v>
      </c>
      <c r="J36" s="3"/>
      <c r="K36" s="3">
        <v>1</v>
      </c>
      <c r="L36" s="3">
        <v>2</v>
      </c>
      <c r="M36" s="3">
        <v>2</v>
      </c>
      <c r="N36" s="3">
        <v>23</v>
      </c>
      <c r="O36" s="3">
        <v>45</v>
      </c>
      <c r="P36" s="7">
        <f>IF(COUNTBLANK(D36:M36)=10,"",SUM(D36:M36))</f>
        <v>15</v>
      </c>
      <c r="Q36" s="7">
        <f>IF(COUNTBLANK(D36:O36)=12,"",MAX(N36+P36,O36+0.5*P36))</f>
        <v>52.5</v>
      </c>
      <c r="R36" s="8">
        <f>IF(COUNTBLANK(N36:O36)=2,"",IF(AND(SUM(N36:O36)=0,P36&lt;0),0,Q36/100))</f>
        <v>0.52500000000000002</v>
      </c>
      <c r="S36" s="7">
        <f>IF(R36="","ni opravljal izpita",IF(R36&lt;$U$3,"negativno",LOOKUP(R36,$U$3:$U$7,$V$3:$V$7)))</f>
        <v>6</v>
      </c>
    </row>
    <row r="37" spans="1:24" x14ac:dyDescent="0.25">
      <c r="A37" s="5">
        <v>27022499</v>
      </c>
      <c r="B37" s="5" t="s">
        <v>54</v>
      </c>
      <c r="C37" s="5" t="s">
        <v>61</v>
      </c>
      <c r="D37" s="3">
        <v>2</v>
      </c>
      <c r="E37" s="3">
        <v>2</v>
      </c>
      <c r="F37" s="3">
        <v>2</v>
      </c>
      <c r="G37" s="3">
        <v>1</v>
      </c>
      <c r="H37" s="3">
        <v>2</v>
      </c>
      <c r="I37" s="3">
        <v>0</v>
      </c>
      <c r="J37" s="3">
        <v>1</v>
      </c>
      <c r="K37" s="3">
        <v>2</v>
      </c>
      <c r="L37" s="3">
        <v>2</v>
      </c>
      <c r="M37" s="3">
        <v>2</v>
      </c>
      <c r="N37" s="3">
        <v>26</v>
      </c>
      <c r="O37" s="3"/>
      <c r="P37" s="7">
        <f>IF(COUNTBLANK(D37:M37)=10,"",SUM(D37:M37))</f>
        <v>16</v>
      </c>
      <c r="Q37" s="7">
        <f>IF(COUNTBLANK(D37:O37)=12,"",MAX(N37+P37,O37+0.5*P37))</f>
        <v>42</v>
      </c>
      <c r="R37" s="8">
        <f>IF(COUNTBLANK(N37:O37)=2,"",IF(AND(SUM(N37:O37)=0,P37&lt;0),0,Q37/100))</f>
        <v>0.42</v>
      </c>
      <c r="S37" s="7" t="str">
        <f>IF(R37="","ni opravljal izpita",IF(R37&lt;$U$3,"negativno",LOOKUP(R37,$U$3:$U$7,$V$3:$V$7)))</f>
        <v>negativno</v>
      </c>
    </row>
    <row r="38" spans="1:24" x14ac:dyDescent="0.25">
      <c r="A38" s="5">
        <v>27054325</v>
      </c>
      <c r="B38" s="5" t="s">
        <v>54</v>
      </c>
      <c r="C38" s="5" t="s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7" t="str">
        <f>IF(COUNTBLANK(D38:M38)=10,"",SUM(D38:M38))</f>
        <v/>
      </c>
      <c r="Q38" s="7" t="str">
        <f>IF(COUNTBLANK(D38:O38)=12,"",MAX(N38+P38,O38+0.5*P38))</f>
        <v/>
      </c>
      <c r="R38" s="8" t="str">
        <f>IF(COUNTBLANK(N38:O38)=2,"",IF(AND(SUM(N38:O38)=0,P38&lt;0),0,Q38/100))</f>
        <v/>
      </c>
      <c r="S38" s="7" t="str">
        <f>IF(R38="","ni opravljal izpita",IF(R38&lt;$U$3,"negativno",LOOKUP(R38,$U$3:$U$7,$V$3:$V$7)))</f>
        <v>ni opravljal izpita</v>
      </c>
    </row>
    <row r="39" spans="1:24" x14ac:dyDescent="0.25">
      <c r="A39" s="12">
        <v>27061398.120000001</v>
      </c>
      <c r="B39" s="5" t="s">
        <v>54</v>
      </c>
      <c r="C39" s="5" t="s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7" t="str">
        <f>IF(COUNTBLANK(D39:M39)=10,"",SUM(D39:M39))</f>
        <v/>
      </c>
      <c r="Q39" s="7" t="str">
        <f>IF(COUNTBLANK(D39:O39)=12,"",MAX(N39+P39,O39+0.5*P39))</f>
        <v/>
      </c>
      <c r="R39" s="8" t="str">
        <f>IF(COUNTBLANK(N39:O39)=2,"",IF(AND(SUM(N39:O39)=0,P39&lt;0),0,Q39/100))</f>
        <v/>
      </c>
      <c r="S39" s="7" t="str">
        <f>IF(R39="","ni opravljal izpita",IF(R39&lt;$U$3,"negativno",LOOKUP(R39,$U$3:$U$7,$V$3:$V$7)))</f>
        <v>ni opravljal izpita</v>
      </c>
    </row>
    <row r="40" spans="1:24" x14ac:dyDescent="0.25">
      <c r="A40" s="5">
        <v>27090177</v>
      </c>
      <c r="B40" s="5" t="s">
        <v>83</v>
      </c>
      <c r="C40" s="5" t="s">
        <v>1</v>
      </c>
      <c r="D40" s="3">
        <v>1</v>
      </c>
      <c r="E40" s="3">
        <v>0</v>
      </c>
      <c r="F40" s="3">
        <v>0</v>
      </c>
      <c r="G40" s="3">
        <v>1</v>
      </c>
      <c r="H40" s="3">
        <v>2</v>
      </c>
      <c r="I40" s="3">
        <v>0</v>
      </c>
      <c r="J40" s="3"/>
      <c r="K40" s="3"/>
      <c r="L40" s="3"/>
      <c r="M40" s="3"/>
      <c r="N40" s="3"/>
      <c r="O40" s="3"/>
      <c r="P40" s="7">
        <f>IF(COUNTBLANK(D40:M40)=10,"",SUM(D40:M40))</f>
        <v>4</v>
      </c>
      <c r="Q40" s="7">
        <f>IF(COUNTBLANK(D40:O40)=12,"",MAX(N40+P40,O40+0.5*P40))</f>
        <v>4</v>
      </c>
      <c r="R40" s="8" t="str">
        <f>IF(COUNTBLANK(N40:O40)=2,"",IF(AND(SUM(N40:O40)=0,P40&lt;0),0,Q40/100))</f>
        <v/>
      </c>
      <c r="S40" s="7" t="str">
        <f>IF(R40="","ni opravljal izpita",IF(R40&lt;$U$3,"negativno",LOOKUP(R40,$U$3:$U$7,$V$3:$V$7)))</f>
        <v>ni opravljal izpita</v>
      </c>
    </row>
    <row r="41" spans="1:24" x14ac:dyDescent="0.25">
      <c r="A41" s="5">
        <v>27101251</v>
      </c>
      <c r="B41" s="5" t="s">
        <v>44</v>
      </c>
      <c r="C41" s="5" t="s">
        <v>1</v>
      </c>
      <c r="D41" s="3">
        <v>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7">
        <f>IF(COUNTBLANK(D41:M41)=10,"",SUM(D41:M41))</f>
        <v>0</v>
      </c>
      <c r="Q41" s="7">
        <f>IF(COUNTBLANK(D41:O41)=12,"",MAX(N41+P41,O41+0.5*P41))</f>
        <v>0</v>
      </c>
      <c r="R41" s="8" t="str">
        <f>IF(COUNTBLANK(N41:O41)=2,"",IF(AND(SUM(N41:O41)=0,P41&lt;0),0,Q41/100))</f>
        <v/>
      </c>
      <c r="S41" s="7" t="str">
        <f>IF(R41="","ni opravljal izpita",IF(R41&lt;$U$3,"negativno",LOOKUP(R41,$U$3:$U$7,$V$3:$V$7)))</f>
        <v>ni opravljal izpita</v>
      </c>
    </row>
    <row r="42" spans="1:24" x14ac:dyDescent="0.25">
      <c r="A42" s="5">
        <v>27101971</v>
      </c>
      <c r="B42" s="5" t="s">
        <v>8</v>
      </c>
      <c r="C42" s="5" t="s">
        <v>1</v>
      </c>
      <c r="D42" s="3">
        <v>2</v>
      </c>
      <c r="E42" s="3">
        <v>2</v>
      </c>
      <c r="F42" s="3">
        <v>1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2</v>
      </c>
      <c r="M42" s="3">
        <v>2</v>
      </c>
      <c r="N42" s="3">
        <v>64</v>
      </c>
      <c r="O42" s="3"/>
      <c r="P42" s="7">
        <f>IF(COUNTBLANK(D42:M42)=10,"",SUM(D42:M42))</f>
        <v>15</v>
      </c>
      <c r="Q42" s="7">
        <f>IF(COUNTBLANK(D42:O42)=12,"",MAX(N42+P42,O42+0.5*P42))</f>
        <v>79</v>
      </c>
      <c r="R42" s="8">
        <f>IF(COUNTBLANK(N42:O42)=2,"",IF(AND(SUM(N42:O42)=0,P42&lt;0),0,Q42/100))</f>
        <v>0.79</v>
      </c>
      <c r="S42" s="7">
        <f>IF(R42="","ni opravljal izpita",IF(R42&lt;$U$3,"negativno",LOOKUP(R42,$U$3:$U$7,$V$3:$V$7)))</f>
        <v>8</v>
      </c>
    </row>
    <row r="43" spans="1:24" x14ac:dyDescent="0.25">
      <c r="A43" s="12">
        <v>27027804.109999999</v>
      </c>
      <c r="B43" s="5" t="s">
        <v>6</v>
      </c>
      <c r="C43" s="5" t="s">
        <v>61</v>
      </c>
      <c r="D43" s="3">
        <v>1</v>
      </c>
      <c r="E43" s="3">
        <v>0</v>
      </c>
      <c r="F43" s="3">
        <v>1</v>
      </c>
      <c r="G43" s="3">
        <v>0</v>
      </c>
      <c r="H43" s="3">
        <v>2</v>
      </c>
      <c r="I43" s="3">
        <v>0</v>
      </c>
      <c r="J43" s="3"/>
      <c r="K43" s="3">
        <v>1</v>
      </c>
      <c r="L43" s="3"/>
      <c r="M43" s="3">
        <v>1</v>
      </c>
      <c r="N43" s="3">
        <v>31</v>
      </c>
      <c r="O43" s="3"/>
      <c r="P43" s="7">
        <f>IF(COUNTBLANK(D43:M43)=10,"",SUM(D43:M43))</f>
        <v>6</v>
      </c>
      <c r="Q43" s="7">
        <f>IF(COUNTBLANK(D43:O43)=12,"",MAX(N43+P43,O43+0.5*P43))</f>
        <v>37</v>
      </c>
      <c r="R43" s="8">
        <f>IF(COUNTBLANK(N43:O43)=2,"",IF(AND(SUM(N43:O43)=0,P43&lt;0),0,Q43/100))</f>
        <v>0.37</v>
      </c>
      <c r="S43" s="7" t="str">
        <f>IF(R43="","ni opravljal izpita",IF(R43&lt;$U$3,"negativno",LOOKUP(R43,$U$3:$U$7,$V$3:$V$7)))</f>
        <v>negativno</v>
      </c>
    </row>
    <row r="44" spans="1:24" x14ac:dyDescent="0.25">
      <c r="A44" s="5">
        <v>27102149</v>
      </c>
      <c r="B44" s="5" t="s">
        <v>6</v>
      </c>
      <c r="C44" s="5" t="s">
        <v>1</v>
      </c>
      <c r="D44" s="3"/>
      <c r="E44" s="3">
        <v>1</v>
      </c>
      <c r="F44" s="3">
        <v>1</v>
      </c>
      <c r="G44" s="3">
        <v>0</v>
      </c>
      <c r="H44" s="3">
        <v>2</v>
      </c>
      <c r="I44" s="3"/>
      <c r="J44" s="3"/>
      <c r="K44" s="3"/>
      <c r="L44" s="3"/>
      <c r="M44" s="3">
        <v>2</v>
      </c>
      <c r="N44" s="3">
        <v>66</v>
      </c>
      <c r="O44" s="3"/>
      <c r="P44" s="7">
        <f>IF(COUNTBLANK(D44:M44)=10,"",SUM(D44:M44))</f>
        <v>6</v>
      </c>
      <c r="Q44" s="7">
        <f>IF(COUNTBLANK(D44:O44)=12,"",MAX(N44+P44,O44+0.5*P44))</f>
        <v>72</v>
      </c>
      <c r="R44" s="8">
        <f>IF(COUNTBLANK(N44:O44)=2,"",IF(AND(SUM(N44:O44)=0,P44&lt;0),0,Q44/100))</f>
        <v>0.72</v>
      </c>
      <c r="S44" s="7">
        <f>IF(R44="","ni opravljal izpita",IF(R44&lt;$U$3,"negativno",LOOKUP(R44,$U$3:$U$7,$V$3:$V$7)))</f>
        <v>8</v>
      </c>
    </row>
    <row r="45" spans="1:24" x14ac:dyDescent="0.25">
      <c r="A45" s="5">
        <v>27101781</v>
      </c>
      <c r="B45" s="5" t="s">
        <v>23</v>
      </c>
      <c r="C45" s="5" t="s">
        <v>1</v>
      </c>
      <c r="D45" s="3">
        <v>2</v>
      </c>
      <c r="E45" s="3">
        <v>2</v>
      </c>
      <c r="F45" s="3">
        <v>2</v>
      </c>
      <c r="G45" s="3">
        <v>1</v>
      </c>
      <c r="H45" s="3">
        <v>2</v>
      </c>
      <c r="I45" s="3"/>
      <c r="J45" s="3">
        <v>0</v>
      </c>
      <c r="K45" s="3"/>
      <c r="L45" s="3">
        <v>1</v>
      </c>
      <c r="M45" s="3"/>
      <c r="N45" s="3">
        <v>44</v>
      </c>
      <c r="O45" s="3"/>
      <c r="P45" s="7">
        <f>IF(COUNTBLANK(D45:M45)=10,"",SUM(D45:M45))</f>
        <v>10</v>
      </c>
      <c r="Q45" s="7">
        <f>IF(COUNTBLANK(D45:O45)=12,"",MAX(N45+P45,O45+0.5*P45))</f>
        <v>54</v>
      </c>
      <c r="R45" s="8">
        <f>IF(COUNTBLANK(N45:O45)=2,"",IF(AND(SUM(N45:O45)=0,P45&lt;0),0,Q45/100))</f>
        <v>0.54</v>
      </c>
      <c r="S45" s="7">
        <f>IF(R45="","ni opravljal izpita",IF(R45&lt;$U$3,"negativno",LOOKUP(R45,$U$3:$U$7,$V$3:$V$7)))</f>
        <v>6</v>
      </c>
    </row>
    <row r="46" spans="1:24" x14ac:dyDescent="0.25">
      <c r="A46" s="5">
        <v>27101542</v>
      </c>
      <c r="B46" s="5" t="s">
        <v>33</v>
      </c>
      <c r="C46" s="5" t="s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0</v>
      </c>
      <c r="J46" s="3"/>
      <c r="K46" s="3">
        <v>1</v>
      </c>
      <c r="L46" s="3">
        <v>1</v>
      </c>
      <c r="M46" s="3"/>
      <c r="N46" s="3">
        <v>10</v>
      </c>
      <c r="O46" s="3"/>
      <c r="P46" s="7">
        <f>IF(COUNTBLANK(D46:M46)=10,"",SUM(D46:M46))</f>
        <v>10</v>
      </c>
      <c r="Q46" s="7">
        <f>IF(COUNTBLANK(D46:O46)=12,"",MAX(N46+P46,O46+0.5*P46))</f>
        <v>20</v>
      </c>
      <c r="R46" s="8">
        <f>IF(COUNTBLANK(N46:O46)=2,"",IF(AND(SUM(N46:O46)=0,P46&lt;0),0,Q46/100))</f>
        <v>0.2</v>
      </c>
      <c r="S46" s="7" t="str">
        <f>IF(R46="","ni opravljal izpita",IF(R46&lt;$U$3,"negativno",LOOKUP(R46,$U$3:$U$7,$V$3:$V$7)))</f>
        <v>negativno</v>
      </c>
    </row>
    <row r="47" spans="1:24" x14ac:dyDescent="0.25">
      <c r="A47" s="5">
        <v>27101934</v>
      </c>
      <c r="B47" s="5" t="s">
        <v>11</v>
      </c>
      <c r="C47" s="5" t="s">
        <v>1</v>
      </c>
      <c r="D47" s="3">
        <v>2</v>
      </c>
      <c r="E47" s="3">
        <v>2</v>
      </c>
      <c r="F47" s="3">
        <v>2</v>
      </c>
      <c r="G47" s="3">
        <v>1</v>
      </c>
      <c r="H47" s="3">
        <v>2</v>
      </c>
      <c r="I47" s="3">
        <v>1</v>
      </c>
      <c r="J47" s="3"/>
      <c r="K47" s="3"/>
      <c r="L47" s="3">
        <v>0</v>
      </c>
      <c r="M47" s="3">
        <v>1</v>
      </c>
      <c r="N47" s="3">
        <v>62</v>
      </c>
      <c r="O47" s="3"/>
      <c r="P47" s="7">
        <f>IF(COUNTBLANK(D47:M47)=10,"",SUM(D47:M47))</f>
        <v>11</v>
      </c>
      <c r="Q47" s="7">
        <f>IF(COUNTBLANK(D47:O47)=12,"",MAX(N47+P47,O47+0.5*P47))</f>
        <v>73</v>
      </c>
      <c r="R47" s="8">
        <f>IF(COUNTBLANK(N47:O47)=2,"",IF(AND(SUM(N47:O47)=0,P47&lt;0),0,Q47/100))</f>
        <v>0.73</v>
      </c>
      <c r="S47" s="7">
        <f>IF(R47="","ni opravljal izpita",IF(R47&lt;$U$3,"negativno",LOOKUP(R47,$U$3:$U$7,$V$3:$V$7)))</f>
        <v>8</v>
      </c>
    </row>
    <row r="48" spans="1:24" x14ac:dyDescent="0.25">
      <c r="A48" s="12">
        <v>27063166.23</v>
      </c>
      <c r="B48" s="5" t="s">
        <v>53</v>
      </c>
      <c r="C48" s="5" t="s">
        <v>1</v>
      </c>
      <c r="D48" s="3">
        <v>1</v>
      </c>
      <c r="E48" s="3">
        <v>0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/>
      <c r="M48" s="3"/>
      <c r="N48" s="3"/>
      <c r="O48" s="3"/>
      <c r="P48" s="7">
        <f>IF(COUNTBLANK(D48:M48)=10,"",SUM(D48:M48))</f>
        <v>3</v>
      </c>
      <c r="Q48" s="7">
        <f>IF(COUNTBLANK(D48:O48)=12,"",MAX(N48+P48,O48+0.5*P48))</f>
        <v>3</v>
      </c>
      <c r="R48" s="8" t="str">
        <f>IF(COUNTBLANK(N48:O48)=2,"",IF(AND(SUM(N48:O48)=0,P48&lt;0),0,Q48/100))</f>
        <v/>
      </c>
      <c r="S48" s="7" t="str">
        <f>IF(R48="","ni opravljal izpita",IF(R48&lt;$U$3,"negativno",LOOKUP(R48,$U$3:$U$7,$V$3:$V$7)))</f>
        <v>ni opravljal izpita</v>
      </c>
    </row>
    <row r="49" spans="1:19" x14ac:dyDescent="0.25">
      <c r="A49" s="5">
        <v>27017195</v>
      </c>
      <c r="B49" s="5" t="s">
        <v>27</v>
      </c>
      <c r="C49" s="5" t="s">
        <v>61</v>
      </c>
      <c r="D49" s="3">
        <v>1</v>
      </c>
      <c r="E49" s="3"/>
      <c r="F49" s="3">
        <v>0</v>
      </c>
      <c r="G49" s="3">
        <v>1</v>
      </c>
      <c r="H49" s="3">
        <v>2</v>
      </c>
      <c r="I49" s="3"/>
      <c r="J49" s="3"/>
      <c r="K49" s="3"/>
      <c r="L49" s="3">
        <v>1</v>
      </c>
      <c r="M49" s="3"/>
      <c r="N49" s="3">
        <v>21</v>
      </c>
      <c r="O49" s="3">
        <v>28</v>
      </c>
      <c r="P49" s="7">
        <f>IF(COUNTBLANK(D49:M49)=10,"",SUM(D49:M49))</f>
        <v>5</v>
      </c>
      <c r="Q49" s="7">
        <f>IF(COUNTBLANK(D49:O49)=12,"",MAX(N49+P49,O49+0.5*P49))</f>
        <v>30.5</v>
      </c>
      <c r="R49" s="8">
        <f>IF(COUNTBLANK(N49:O49)=2,"",IF(AND(SUM(N49:O49)=0,P49&lt;0),0,Q49/100))</f>
        <v>0.30499999999999999</v>
      </c>
      <c r="S49" s="7" t="str">
        <f>IF(R49="","ni opravljal izpita",IF(R49&lt;$U$3,"negativno",LOOKUP(R49,$U$3:$U$7,$V$3:$V$7)))</f>
        <v>negativno</v>
      </c>
    </row>
    <row r="50" spans="1:19" x14ac:dyDescent="0.25">
      <c r="A50" s="12">
        <v>27026036.010000002</v>
      </c>
      <c r="B50" s="5" t="s">
        <v>27</v>
      </c>
      <c r="C50" s="5" t="s">
        <v>61</v>
      </c>
      <c r="D50" s="3">
        <v>2</v>
      </c>
      <c r="E50" s="3">
        <v>2</v>
      </c>
      <c r="F50" s="3">
        <v>2</v>
      </c>
      <c r="G50" s="3">
        <v>1</v>
      </c>
      <c r="H50" s="3">
        <v>1</v>
      </c>
      <c r="I50" s="3">
        <v>0</v>
      </c>
      <c r="J50" s="3"/>
      <c r="K50" s="3">
        <v>1</v>
      </c>
      <c r="L50" s="3"/>
      <c r="M50" s="3">
        <v>2</v>
      </c>
      <c r="N50" s="3">
        <v>31</v>
      </c>
      <c r="O50" s="3"/>
      <c r="P50" s="7">
        <f>IF(COUNTBLANK(D50:M50)=10,"",SUM(D50:M50))</f>
        <v>11</v>
      </c>
      <c r="Q50" s="7">
        <f>IF(COUNTBLANK(D50:O50)=12,"",MAX(N50+P50,O50+0.5*P50))</f>
        <v>42</v>
      </c>
      <c r="R50" s="8">
        <f>IF(COUNTBLANK(N50:O50)=2,"",IF(AND(SUM(N50:O50)=0,P50&lt;0),0,Q50/100))</f>
        <v>0.42</v>
      </c>
      <c r="S50" s="7" t="str">
        <f>IF(R50="","ni opravljal izpita",IF(R50&lt;$U$3,"negativno",LOOKUP(R50,$U$3:$U$7,$V$3:$V$7)))</f>
        <v>negativno</v>
      </c>
    </row>
    <row r="51" spans="1:19" x14ac:dyDescent="0.25">
      <c r="A51" s="5">
        <v>27101680</v>
      </c>
      <c r="B51" s="5" t="s">
        <v>27</v>
      </c>
      <c r="C51" s="5" t="s">
        <v>1</v>
      </c>
      <c r="D51" s="3">
        <v>2</v>
      </c>
      <c r="E51" s="3">
        <v>2</v>
      </c>
      <c r="F51" s="3">
        <v>2</v>
      </c>
      <c r="G51" s="3">
        <v>0</v>
      </c>
      <c r="H51" s="3">
        <v>2</v>
      </c>
      <c r="I51" s="3">
        <v>1</v>
      </c>
      <c r="J51" s="3">
        <v>2</v>
      </c>
      <c r="K51" s="3">
        <v>1</v>
      </c>
      <c r="L51" s="3">
        <v>2</v>
      </c>
      <c r="M51" s="3">
        <v>2</v>
      </c>
      <c r="N51" s="3">
        <v>23</v>
      </c>
      <c r="O51" s="3"/>
      <c r="P51" s="7">
        <f>IF(COUNTBLANK(D51:M51)=10,"",SUM(D51:M51))</f>
        <v>16</v>
      </c>
      <c r="Q51" s="7">
        <f>IF(COUNTBLANK(D51:O51)=12,"",MAX(N51+P51,O51+0.5*P51))</f>
        <v>39</v>
      </c>
      <c r="R51" s="8">
        <f>IF(COUNTBLANK(N51:O51)=2,"",IF(AND(SUM(N51:O51)=0,P51&lt;0),0,Q51/100))</f>
        <v>0.39</v>
      </c>
      <c r="S51" s="7" t="str">
        <f>IF(R51="","ni opravljal izpita",IF(R51&lt;$U$3,"negativno",LOOKUP(R51,$U$3:$U$7,$V$3:$V$7)))</f>
        <v>negativno</v>
      </c>
    </row>
    <row r="52" spans="1:19" x14ac:dyDescent="0.25">
      <c r="A52" s="5">
        <v>27101667</v>
      </c>
      <c r="B52" s="5" t="s">
        <v>29</v>
      </c>
      <c r="C52" s="5" t="s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0</v>
      </c>
      <c r="J52" s="3"/>
      <c r="K52" s="3">
        <v>1</v>
      </c>
      <c r="L52" s="3">
        <v>2</v>
      </c>
      <c r="M52" s="3">
        <v>2</v>
      </c>
      <c r="N52" s="3">
        <v>37</v>
      </c>
      <c r="O52" s="3">
        <v>58</v>
      </c>
      <c r="P52" s="7">
        <f>IF(COUNTBLANK(D52:M52)=10,"",SUM(D52:M52))</f>
        <v>13</v>
      </c>
      <c r="Q52" s="7">
        <f>IF(COUNTBLANK(D52:O52)=12,"",MAX(N52+P52,O52+0.5*P52))</f>
        <v>64.5</v>
      </c>
      <c r="R52" s="8">
        <f>IF(COUNTBLANK(N52:O52)=2,"",IF(AND(SUM(N52:O52)=0,P52&lt;0),0,Q52/100))</f>
        <v>0.64500000000000002</v>
      </c>
      <c r="S52" s="7">
        <f>IF(R52="","ni opravljal izpita",IF(R52&lt;$U$3,"negativno",LOOKUP(R52,$U$3:$U$7,$V$3:$V$7)))</f>
        <v>7</v>
      </c>
    </row>
    <row r="53" spans="1:19" x14ac:dyDescent="0.25">
      <c r="A53" s="5">
        <v>27056093</v>
      </c>
      <c r="B53" s="5" t="s">
        <v>34</v>
      </c>
      <c r="C53" s="5" t="s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7" t="str">
        <f>IF(COUNTBLANK(D53:M53)=10,"",SUM(D53:M53))</f>
        <v/>
      </c>
      <c r="Q53" s="7" t="str">
        <f>IF(COUNTBLANK(D53:O53)=12,"",MAX(N53+P53,O53+0.5*P53))</f>
        <v/>
      </c>
      <c r="R53" s="8" t="str">
        <f>IF(COUNTBLANK(N53:O53)=2,"",IF(AND(SUM(N53:O53)=0,P53&lt;0),0,Q53/100))</f>
        <v/>
      </c>
      <c r="S53" s="7" t="str">
        <f>IF(R53="","ni opravljal izpita",IF(R53&lt;$U$3,"negativno",LOOKUP(R53,$U$3:$U$7,$V$3:$V$7)))</f>
        <v>ni opravljal izpita</v>
      </c>
    </row>
    <row r="54" spans="1:19" x14ac:dyDescent="0.25">
      <c r="A54" s="5">
        <v>27101529</v>
      </c>
      <c r="B54" s="5" t="s">
        <v>34</v>
      </c>
      <c r="C54" s="5" t="s">
        <v>1</v>
      </c>
      <c r="D54" s="3">
        <v>0</v>
      </c>
      <c r="E54" s="3">
        <v>1</v>
      </c>
      <c r="F54" s="3">
        <v>1</v>
      </c>
      <c r="G54" s="3">
        <v>0</v>
      </c>
      <c r="H54" s="3">
        <v>0</v>
      </c>
      <c r="I54" s="3"/>
      <c r="J54" s="3"/>
      <c r="K54" s="3"/>
      <c r="L54" s="3">
        <v>2</v>
      </c>
      <c r="M54" s="3"/>
      <c r="N54" s="3">
        <v>10</v>
      </c>
      <c r="O54" s="3"/>
      <c r="P54" s="7">
        <f>IF(COUNTBLANK(D54:M54)=10,"",SUM(D54:M54))</f>
        <v>4</v>
      </c>
      <c r="Q54" s="7">
        <f>IF(COUNTBLANK(D54:O54)=12,"",MAX(N54+P54,O54+0.5*P54))</f>
        <v>14</v>
      </c>
      <c r="R54" s="8">
        <f>IF(COUNTBLANK(N54:O54)=2,"",IF(AND(SUM(N54:O54)=0,P54&lt;0),0,Q54/100))</f>
        <v>0.14000000000000001</v>
      </c>
      <c r="S54" s="7" t="str">
        <f>IF(R54="","ni opravljal izpita",IF(R54&lt;$U$3,"negativno",LOOKUP(R54,$U$3:$U$7,$V$3:$V$7)))</f>
        <v>negativno</v>
      </c>
    </row>
    <row r="55" spans="1:19" x14ac:dyDescent="0.25">
      <c r="A55" s="12">
        <v>27036644.640000001</v>
      </c>
      <c r="B55" s="5" t="s">
        <v>46</v>
      </c>
      <c r="C55" s="5" t="s">
        <v>61</v>
      </c>
      <c r="D55" s="3">
        <v>1</v>
      </c>
      <c r="E55" s="3">
        <v>2</v>
      </c>
      <c r="F55" s="3">
        <v>2</v>
      </c>
      <c r="G55" s="3">
        <v>1</v>
      </c>
      <c r="H55" s="3">
        <v>2</v>
      </c>
      <c r="I55" s="3">
        <v>0</v>
      </c>
      <c r="J55" s="3">
        <v>1</v>
      </c>
      <c r="K55" s="3">
        <v>1</v>
      </c>
      <c r="L55" s="3">
        <v>2</v>
      </c>
      <c r="M55" s="3">
        <v>2</v>
      </c>
      <c r="N55" s="3">
        <v>47</v>
      </c>
      <c r="O55" s="3"/>
      <c r="P55" s="7">
        <f>IF(COUNTBLANK(D55:M55)=10,"",SUM(D55:M55))</f>
        <v>14</v>
      </c>
      <c r="Q55" s="7">
        <f>IF(COUNTBLANK(D55:O55)=12,"",MAX(N55+P55,O55+0.5*P55))</f>
        <v>61</v>
      </c>
      <c r="R55" s="8">
        <f>IF(COUNTBLANK(N55:O55)=2,"",IF(AND(SUM(N55:O55)=0,P55&lt;0),0,Q55/100))</f>
        <v>0.61</v>
      </c>
      <c r="S55" s="7">
        <f>IF(R55="","ni opravljal izpita",IF(R55&lt;$U$3,"negativno",LOOKUP(R55,$U$3:$U$7,$V$3:$V$7)))</f>
        <v>7</v>
      </c>
    </row>
    <row r="56" spans="1:19" x14ac:dyDescent="0.25">
      <c r="A56" s="5">
        <v>27101202</v>
      </c>
      <c r="B56" s="5" t="s">
        <v>46</v>
      </c>
      <c r="C56" s="5" t="s">
        <v>1</v>
      </c>
      <c r="D56" s="3">
        <v>0</v>
      </c>
      <c r="E56" s="3"/>
      <c r="F56" s="3"/>
      <c r="G56" s="3"/>
      <c r="H56" s="3">
        <v>2</v>
      </c>
      <c r="I56" s="3"/>
      <c r="J56" s="3"/>
      <c r="K56" s="3"/>
      <c r="L56" s="3"/>
      <c r="M56" s="3"/>
      <c r="N56" s="3"/>
      <c r="O56" s="3"/>
      <c r="P56" s="7">
        <f>IF(COUNTBLANK(D56:M56)=10,"",SUM(D56:M56))</f>
        <v>2</v>
      </c>
      <c r="Q56" s="7">
        <f>IF(COUNTBLANK(D56:O56)=12,"",MAX(N56+P56,O56+0.5*P56))</f>
        <v>2</v>
      </c>
      <c r="R56" s="8" t="str">
        <f>IF(COUNTBLANK(N56:O56)=2,"",IF(AND(SUM(N56:O56)=0,P56&lt;0),0,Q56/100))</f>
        <v/>
      </c>
      <c r="S56" s="7" t="str">
        <f>IF(R56="","ni opravljal izpita",IF(R56&lt;$U$3,"negativno",LOOKUP(R56,$U$3:$U$7,$V$3:$V$7)))</f>
        <v>ni opravljal izpita</v>
      </c>
    </row>
    <row r="57" spans="1:19" x14ac:dyDescent="0.25">
      <c r="A57" s="5">
        <v>27101125</v>
      </c>
      <c r="B57" s="5" t="s">
        <v>49</v>
      </c>
      <c r="C57" s="5" t="s">
        <v>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7" t="str">
        <f>IF(COUNTBLANK(D57:M57)=10,"",SUM(D57:M57))</f>
        <v/>
      </c>
      <c r="Q57" s="7" t="str">
        <f>IF(COUNTBLANK(D57:O57)=12,"",MAX(N57+P57,O57+0.5*P57))</f>
        <v/>
      </c>
      <c r="R57" s="8" t="str">
        <f>IF(COUNTBLANK(N57:O57)=2,"",IF(AND(SUM(N57:O57)=0,P57&lt;0),0,Q57/100))</f>
        <v/>
      </c>
      <c r="S57" s="7" t="str">
        <f>IF(R57="","ni opravljal izpita",IF(R57&lt;$U$3,"negativno",LOOKUP(R57,$U$3:$U$7,$V$3:$V$7)))</f>
        <v>ni opravljal izpita</v>
      </c>
    </row>
    <row r="58" spans="1:19" x14ac:dyDescent="0.25">
      <c r="A58" s="5">
        <v>26995978</v>
      </c>
      <c r="B58" s="5" t="s">
        <v>75</v>
      </c>
      <c r="C58" s="5" t="s">
        <v>61</v>
      </c>
      <c r="D58" s="3">
        <v>1</v>
      </c>
      <c r="E58" s="3">
        <v>0</v>
      </c>
      <c r="F58" s="3">
        <v>2</v>
      </c>
      <c r="G58" s="3">
        <v>1</v>
      </c>
      <c r="H58" s="3">
        <v>2</v>
      </c>
      <c r="I58" s="3"/>
      <c r="J58" s="3"/>
      <c r="K58" s="3"/>
      <c r="L58" s="3"/>
      <c r="M58" s="3"/>
      <c r="N58" s="3"/>
      <c r="O58" s="3"/>
      <c r="P58" s="7">
        <f>IF(COUNTBLANK(D58:M58)=10,"",SUM(D58:M58))</f>
        <v>6</v>
      </c>
      <c r="Q58" s="7">
        <f>IF(COUNTBLANK(D58:O58)=12,"",MAX(N58+P58,O58+0.5*P58))</f>
        <v>6</v>
      </c>
      <c r="R58" s="8" t="str">
        <f>IF(COUNTBLANK(N58:O58)=2,"",IF(AND(SUM(N58:O58)=0,P58&lt;0),0,Q58/100))</f>
        <v/>
      </c>
      <c r="S58" s="7" t="str">
        <f>IF(R58="","ni opravljal izpita",IF(R58&lt;$U$3,"negativno",LOOKUP(R58,$U$3:$U$7,$V$3:$V$7)))</f>
        <v>ni opravljal izpita</v>
      </c>
    </row>
    <row r="59" spans="1:19" x14ac:dyDescent="0.25">
      <c r="A59" s="5">
        <v>27101910</v>
      </c>
      <c r="B59" s="5" t="s">
        <v>13</v>
      </c>
      <c r="C59" s="5" t="s">
        <v>1</v>
      </c>
      <c r="D59" s="3">
        <v>1</v>
      </c>
      <c r="E59" s="3">
        <v>2</v>
      </c>
      <c r="F59" s="3">
        <v>2</v>
      </c>
      <c r="G59" s="3">
        <v>2</v>
      </c>
      <c r="H59" s="3">
        <v>1</v>
      </c>
      <c r="I59" s="3">
        <v>0</v>
      </c>
      <c r="J59" s="3">
        <v>0</v>
      </c>
      <c r="K59" s="3">
        <v>2</v>
      </c>
      <c r="L59" s="3">
        <v>1</v>
      </c>
      <c r="M59" s="3">
        <v>2</v>
      </c>
      <c r="N59" s="3">
        <v>57</v>
      </c>
      <c r="O59" s="3"/>
      <c r="P59" s="7">
        <f>IF(COUNTBLANK(D59:M59)=10,"",SUM(D59:M59))</f>
        <v>13</v>
      </c>
      <c r="Q59" s="7">
        <f>IF(COUNTBLANK(D59:O59)=12,"",MAX(N59+P59,O59+0.5*P59))</f>
        <v>70</v>
      </c>
      <c r="R59" s="8">
        <f>IF(COUNTBLANK(N59:O59)=2,"",IF(AND(SUM(N59:O59)=0,P59&lt;0),0,Q59/100))</f>
        <v>0.7</v>
      </c>
      <c r="S59" s="7">
        <f>IF(R59="","ni opravljal izpita",IF(R59&lt;$U$3,"negativno",LOOKUP(R59,$U$3:$U$7,$V$3:$V$7)))</f>
        <v>8</v>
      </c>
    </row>
    <row r="60" spans="1:19" x14ac:dyDescent="0.25">
      <c r="A60" s="5">
        <v>27101364</v>
      </c>
      <c r="B60" s="5" t="s">
        <v>40</v>
      </c>
      <c r="C60" s="5" t="s">
        <v>1</v>
      </c>
      <c r="D60" s="3">
        <v>1</v>
      </c>
      <c r="E60" s="3">
        <v>1</v>
      </c>
      <c r="F60" s="3"/>
      <c r="G60" s="3">
        <v>0</v>
      </c>
      <c r="H60" s="3">
        <v>0</v>
      </c>
      <c r="I60" s="3"/>
      <c r="J60" s="3"/>
      <c r="K60" s="3"/>
      <c r="L60" s="3"/>
      <c r="M60" s="3"/>
      <c r="N60" s="3">
        <v>0</v>
      </c>
      <c r="O60" s="3"/>
      <c r="P60" s="7">
        <f>IF(COUNTBLANK(D60:M60)=10,"",SUM(D60:M60))</f>
        <v>2</v>
      </c>
      <c r="Q60" s="7">
        <f>IF(COUNTBLANK(D60:O60)=12,"",MAX(N60+P60,O60+0.5*P60))</f>
        <v>2</v>
      </c>
      <c r="R60" s="8">
        <f>IF(COUNTBLANK(N60:O60)=2,"",IF(AND(SUM(N60:O60)=0,P60&lt;0),0,Q60/100))</f>
        <v>0.02</v>
      </c>
      <c r="S60" s="7" t="str">
        <f>IF(R60="","ni opravljal izpita",IF(R60&lt;$U$3,"negativno",LOOKUP(R60,$U$3:$U$7,$V$3:$V$7)))</f>
        <v>negativno</v>
      </c>
    </row>
    <row r="61" spans="1:19" x14ac:dyDescent="0.25">
      <c r="A61" s="5">
        <v>27101101</v>
      </c>
      <c r="B61" s="5" t="s">
        <v>50</v>
      </c>
      <c r="C61" s="5" t="s">
        <v>1</v>
      </c>
      <c r="D61" s="3"/>
      <c r="E61" s="3"/>
      <c r="F61" s="3"/>
      <c r="G61" s="3">
        <v>0</v>
      </c>
      <c r="H61" s="3"/>
      <c r="I61" s="3"/>
      <c r="J61" s="3"/>
      <c r="K61" s="3"/>
      <c r="L61" s="3"/>
      <c r="M61" s="3"/>
      <c r="N61" s="3"/>
      <c r="O61" s="3"/>
      <c r="P61" s="7">
        <f>IF(COUNTBLANK(D61:M61)=10,"",SUM(D61:M61))</f>
        <v>0</v>
      </c>
      <c r="Q61" s="7">
        <f>IF(COUNTBLANK(D61:O61)=12,"",MAX(N61+P61,O61+0.5*P61))</f>
        <v>0</v>
      </c>
      <c r="R61" s="8" t="str">
        <f>IF(COUNTBLANK(N61:O61)=2,"",IF(AND(SUM(N61:O61)=0,P61&lt;0),0,Q61/100))</f>
        <v/>
      </c>
      <c r="S61" s="7" t="str">
        <f>IF(R61="","ni opravljal izpita",IF(R61&lt;$U$3,"negativno",LOOKUP(R61,$U$3:$U$7,$V$3:$V$7)))</f>
        <v>ni opravljal izpita</v>
      </c>
    </row>
    <row r="62" spans="1:19" x14ac:dyDescent="0.25">
      <c r="A62" s="5">
        <v>26988905</v>
      </c>
      <c r="B62" s="5" t="s">
        <v>18</v>
      </c>
      <c r="C62" s="5" t="s">
        <v>61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7" t="str">
        <f>IF(COUNTBLANK(D62:M62)=10,"",SUM(D62:M62))</f>
        <v/>
      </c>
      <c r="Q62" s="7" t="str">
        <f>IF(COUNTBLANK(D62:O62)=12,"",MAX(N62+P62,O62+0.5*P62))</f>
        <v/>
      </c>
      <c r="R62" s="8" t="str">
        <f>IF(COUNTBLANK(N62:O62)=2,"",IF(AND(SUM(N62:O62)=0,P62&lt;0),0,Q62/100))</f>
        <v/>
      </c>
      <c r="S62" s="7" t="str">
        <f>IF(R62="","ni opravljal izpita",IF(R62&lt;$U$3,"negativno",LOOKUP(R62,$U$3:$U$7,$V$3:$V$7)))</f>
        <v>ni opravljal izpita</v>
      </c>
    </row>
    <row r="63" spans="1:19" x14ac:dyDescent="0.25">
      <c r="A63" s="5">
        <v>27101238</v>
      </c>
      <c r="B63" s="5" t="s">
        <v>18</v>
      </c>
      <c r="C63" s="5" t="s">
        <v>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7" t="str">
        <f>IF(COUNTBLANK(D63:M63)=10,"",SUM(D63:M63))</f>
        <v/>
      </c>
      <c r="Q63" s="7" t="str">
        <f>IF(COUNTBLANK(D63:O63)=12,"",MAX(N63+P63,O63+0.5*P63))</f>
        <v/>
      </c>
      <c r="R63" s="8" t="str">
        <f>IF(COUNTBLANK(N63:O63)=2,"",IF(AND(SUM(N63:O63)=0,P63&lt;0),0,Q63/100))</f>
        <v/>
      </c>
      <c r="S63" s="7" t="str">
        <f>IF(R63="","ni opravljal izpita",IF(R63&lt;$U$3,"negativno",LOOKUP(R63,$U$3:$U$7,$V$3:$V$7)))</f>
        <v>ni opravljal izpita</v>
      </c>
    </row>
    <row r="64" spans="1:19" x14ac:dyDescent="0.25">
      <c r="A64" s="5">
        <v>27101869</v>
      </c>
      <c r="B64" s="5" t="s">
        <v>18</v>
      </c>
      <c r="C64" s="5" t="s">
        <v>1</v>
      </c>
      <c r="D64" s="3">
        <v>2</v>
      </c>
      <c r="E64" s="3">
        <v>2</v>
      </c>
      <c r="F64" s="3">
        <v>2</v>
      </c>
      <c r="G64" s="3">
        <v>2</v>
      </c>
      <c r="H64" s="3">
        <v>2</v>
      </c>
      <c r="I64" s="3"/>
      <c r="J64" s="3"/>
      <c r="K64" s="3">
        <v>2</v>
      </c>
      <c r="L64" s="3">
        <v>1</v>
      </c>
      <c r="M64" s="3">
        <v>2</v>
      </c>
      <c r="N64" s="3">
        <v>54</v>
      </c>
      <c r="O64" s="3"/>
      <c r="P64" s="7">
        <f>IF(COUNTBLANK(D64:M64)=10,"",SUM(D64:M64))</f>
        <v>15</v>
      </c>
      <c r="Q64" s="7">
        <f>IF(COUNTBLANK(D64:O64)=12,"",MAX(N64+P64,O64+0.5*P64))</f>
        <v>69</v>
      </c>
      <c r="R64" s="8">
        <f>IF(COUNTBLANK(N64:O64)=2,"",IF(AND(SUM(N64:O64)=0,P64&lt;0),0,Q64/100))</f>
        <v>0.69</v>
      </c>
      <c r="S64" s="7">
        <f>IF(R64="","ni opravljal izpita",IF(R64&lt;$U$3,"negativno",LOOKUP(R64,$U$3:$U$7,$V$3:$V$7)))</f>
        <v>7</v>
      </c>
    </row>
    <row r="65" spans="1:19" x14ac:dyDescent="0.25">
      <c r="A65" s="5">
        <v>27011891</v>
      </c>
      <c r="B65" s="5" t="s">
        <v>15</v>
      </c>
      <c r="C65" s="5" t="s">
        <v>61</v>
      </c>
      <c r="D65" s="3">
        <v>2</v>
      </c>
      <c r="E65" s="3">
        <v>2</v>
      </c>
      <c r="F65" s="3">
        <v>2</v>
      </c>
      <c r="G65" s="3">
        <v>1</v>
      </c>
      <c r="H65" s="3">
        <v>2</v>
      </c>
      <c r="I65" s="3">
        <v>1</v>
      </c>
      <c r="J65" s="3">
        <v>0</v>
      </c>
      <c r="K65" s="3">
        <v>1</v>
      </c>
      <c r="L65" s="3">
        <v>1</v>
      </c>
      <c r="M65" s="3">
        <v>0</v>
      </c>
      <c r="N65" s="3">
        <v>36</v>
      </c>
      <c r="O65" s="3">
        <v>52</v>
      </c>
      <c r="P65" s="7">
        <f>IF(COUNTBLANK(D65:M65)=10,"",SUM(D65:M65))</f>
        <v>12</v>
      </c>
      <c r="Q65" s="7">
        <f>IF(COUNTBLANK(D65:O65)=12,"",MAX(N65+P65,O65+0.5*P65))</f>
        <v>58</v>
      </c>
      <c r="R65" s="8">
        <f>IF(COUNTBLANK(N65:O65)=2,"",IF(AND(SUM(N65:O65)=0,P65&lt;0),0,Q65/100))</f>
        <v>0.57999999999999996</v>
      </c>
      <c r="S65" s="7">
        <f>IF(R65="","ni opravljal izpita",IF(R65&lt;$U$3,"negativno",LOOKUP(R65,$U$3:$U$7,$V$3:$V$7)))</f>
        <v>6</v>
      </c>
    </row>
    <row r="66" spans="1:19" x14ac:dyDescent="0.25">
      <c r="A66" s="5">
        <v>27101894</v>
      </c>
      <c r="B66" s="5" t="s">
        <v>15</v>
      </c>
      <c r="C66" s="5" t="s">
        <v>1</v>
      </c>
      <c r="D66" s="3">
        <v>2</v>
      </c>
      <c r="E66" s="3">
        <v>2</v>
      </c>
      <c r="F66" s="3">
        <v>1</v>
      </c>
      <c r="G66" s="3">
        <v>1</v>
      </c>
      <c r="H66" s="3">
        <v>2</v>
      </c>
      <c r="I66" s="3">
        <v>0</v>
      </c>
      <c r="J66" s="3">
        <v>2</v>
      </c>
      <c r="K66" s="3">
        <v>1</v>
      </c>
      <c r="L66" s="3">
        <v>2</v>
      </c>
      <c r="M66" s="3">
        <v>2</v>
      </c>
      <c r="N66" s="3">
        <v>53</v>
      </c>
      <c r="O66" s="3"/>
      <c r="P66" s="7">
        <f>IF(COUNTBLANK(D66:M66)=10,"",SUM(D66:M66))</f>
        <v>15</v>
      </c>
      <c r="Q66" s="7">
        <f>IF(COUNTBLANK(D66:O66)=12,"",MAX(N66+P66,O66+0.5*P66))</f>
        <v>68</v>
      </c>
      <c r="R66" s="8">
        <f>IF(COUNTBLANK(N66:O66)=2,"",IF(AND(SUM(N66:O66)=0,P66&lt;0),0,Q66/100))</f>
        <v>0.68</v>
      </c>
      <c r="S66" s="7">
        <f>IF(R66="","ni opravljal izpita",IF(R66&lt;$U$3,"negativno",LOOKUP(R66,$U$3:$U$7,$V$3:$V$7)))</f>
        <v>7</v>
      </c>
    </row>
    <row r="67" spans="1:19" x14ac:dyDescent="0.25">
      <c r="A67" s="5">
        <v>26990673</v>
      </c>
      <c r="B67" s="5" t="s">
        <v>47</v>
      </c>
      <c r="C67" s="5" t="s">
        <v>61</v>
      </c>
      <c r="D67" s="3">
        <v>1</v>
      </c>
      <c r="E67" s="3">
        <v>1</v>
      </c>
      <c r="F67" s="3">
        <v>2</v>
      </c>
      <c r="G67" s="3">
        <v>1</v>
      </c>
      <c r="H67" s="3">
        <v>2</v>
      </c>
      <c r="I67" s="3">
        <v>0</v>
      </c>
      <c r="J67" s="3"/>
      <c r="K67" s="3"/>
      <c r="L67" s="3">
        <v>2</v>
      </c>
      <c r="M67" s="3"/>
      <c r="N67" s="3"/>
      <c r="O67" s="3"/>
      <c r="P67" s="7">
        <f>IF(COUNTBLANK(D67:M67)=10,"",SUM(D67:M67))</f>
        <v>9</v>
      </c>
      <c r="Q67" s="7">
        <f>IF(COUNTBLANK(D67:O67)=12,"",MAX(N67+P67,O67+0.5*P67))</f>
        <v>9</v>
      </c>
      <c r="R67" s="8" t="str">
        <f>IF(COUNTBLANK(N67:O67)=2,"",IF(AND(SUM(N67:O67)=0,P67&lt;0),0,Q67/100))</f>
        <v/>
      </c>
      <c r="S67" s="7" t="str">
        <f>IF(R67="","ni opravljal izpita",IF(R67&lt;$U$3,"negativno",LOOKUP(R67,$U$3:$U$7,$V$3:$V$7)))</f>
        <v>ni opravljal izpita</v>
      </c>
    </row>
    <row r="68" spans="1:19" x14ac:dyDescent="0.25">
      <c r="A68" s="5">
        <v>27101174</v>
      </c>
      <c r="B68" s="5" t="s">
        <v>47</v>
      </c>
      <c r="C68" s="5" t="s">
        <v>1</v>
      </c>
      <c r="D68" s="3">
        <v>1</v>
      </c>
      <c r="E68" s="3">
        <v>1</v>
      </c>
      <c r="F68" s="3">
        <v>0</v>
      </c>
      <c r="G68" s="3"/>
      <c r="H68" s="3"/>
      <c r="I68" s="3"/>
      <c r="J68" s="3"/>
      <c r="K68" s="3"/>
      <c r="L68" s="3"/>
      <c r="M68" s="3"/>
      <c r="N68" s="3"/>
      <c r="O68" s="3"/>
      <c r="P68" s="7">
        <f>IF(COUNTBLANK(D68:M68)=10,"",SUM(D68:M68))</f>
        <v>2</v>
      </c>
      <c r="Q68" s="7">
        <f>IF(COUNTBLANK(D68:O68)=12,"",MAX(N68+P68,O68+0.5*P68))</f>
        <v>2</v>
      </c>
      <c r="R68" s="8" t="str">
        <f>IF(COUNTBLANK(N68:O68)=2,"",IF(AND(SUM(N68:O68)=0,P68&lt;0),0,Q68/100))</f>
        <v/>
      </c>
      <c r="S68" s="7" t="str">
        <f>IF(R68="","ni opravljal izpita",IF(R68&lt;$U$3,"negativno",LOOKUP(R68,$U$3:$U$7,$V$3:$V$7)))</f>
        <v>ni opravljal izpita</v>
      </c>
    </row>
    <row r="69" spans="1:19" x14ac:dyDescent="0.25">
      <c r="A69" s="5">
        <v>27101431</v>
      </c>
      <c r="B69" s="5" t="s">
        <v>37</v>
      </c>
      <c r="C69" s="5" t="s">
        <v>1</v>
      </c>
      <c r="D69" s="3">
        <v>1</v>
      </c>
      <c r="E69" s="3"/>
      <c r="F69" s="3">
        <v>0</v>
      </c>
      <c r="G69" s="3">
        <v>1</v>
      </c>
      <c r="H69" s="3"/>
      <c r="I69" s="3"/>
      <c r="J69" s="3"/>
      <c r="K69" s="3"/>
      <c r="L69" s="3"/>
      <c r="M69" s="3"/>
      <c r="N69" s="3">
        <v>3</v>
      </c>
      <c r="O69" s="3"/>
      <c r="P69" s="7">
        <f>IF(COUNTBLANK(D69:M69)=10,"",SUM(D69:M69))</f>
        <v>2</v>
      </c>
      <c r="Q69" s="7">
        <f>IF(COUNTBLANK(D69:O69)=12,"",MAX(N69+P69,O69+0.5*P69))</f>
        <v>5</v>
      </c>
      <c r="R69" s="8">
        <f>IF(COUNTBLANK(N69:O69)=2,"",IF(AND(SUM(N69:O69)=0,P69&lt;0),0,Q69/100))</f>
        <v>0.05</v>
      </c>
      <c r="S69" s="7" t="str">
        <f>IF(R69="","ni opravljal izpita",IF(R69&lt;$U$3,"negativno",LOOKUP(R69,$U$3:$U$7,$V$3:$V$7)))</f>
        <v>negativno</v>
      </c>
    </row>
    <row r="70" spans="1:19" x14ac:dyDescent="0.25">
      <c r="A70" s="5">
        <v>27010123</v>
      </c>
      <c r="B70" s="5" t="s">
        <v>32</v>
      </c>
      <c r="C70" s="5" t="s">
        <v>61</v>
      </c>
      <c r="D70" s="3">
        <v>2</v>
      </c>
      <c r="E70" s="3">
        <v>1</v>
      </c>
      <c r="F70" s="3">
        <v>2</v>
      </c>
      <c r="G70" s="3">
        <v>1</v>
      </c>
      <c r="H70" s="3">
        <v>2</v>
      </c>
      <c r="I70" s="3">
        <v>0</v>
      </c>
      <c r="J70" s="3">
        <v>2</v>
      </c>
      <c r="K70" s="3">
        <v>1</v>
      </c>
      <c r="L70" s="3">
        <v>2</v>
      </c>
      <c r="M70" s="3">
        <v>2</v>
      </c>
      <c r="N70" s="3">
        <v>24</v>
      </c>
      <c r="O70" s="3">
        <v>46</v>
      </c>
      <c r="P70" s="7">
        <f>IF(COUNTBLANK(D70:M70)=10,"",SUM(D70:M70))</f>
        <v>15</v>
      </c>
      <c r="Q70" s="7">
        <f>IF(COUNTBLANK(D70:O70)=12,"",MAX(N70+P70,O70+0.5*P70))</f>
        <v>53.5</v>
      </c>
      <c r="R70" s="8">
        <f>IF(COUNTBLANK(N70:O70)=2,"",IF(AND(SUM(N70:O70)=0,P70&lt;0),0,Q70/100))</f>
        <v>0.53500000000000003</v>
      </c>
      <c r="S70" s="7">
        <f>IF(R70="","ni opravljal izpita",IF(R70&lt;$U$3,"negativno",LOOKUP(R70,$U$3:$U$7,$V$3:$V$7)))</f>
        <v>6</v>
      </c>
    </row>
    <row r="71" spans="1:19" x14ac:dyDescent="0.25">
      <c r="A71" s="5">
        <v>27100100</v>
      </c>
      <c r="B71" s="5" t="s">
        <v>32</v>
      </c>
      <c r="C71" s="5" t="s">
        <v>1</v>
      </c>
      <c r="D71" s="3">
        <v>1</v>
      </c>
      <c r="E71" s="3">
        <v>0</v>
      </c>
      <c r="F71" s="3">
        <v>1</v>
      </c>
      <c r="G71" s="3">
        <v>0</v>
      </c>
      <c r="H71" s="3">
        <v>2</v>
      </c>
      <c r="I71" s="3"/>
      <c r="J71" s="3"/>
      <c r="K71" s="3">
        <v>0</v>
      </c>
      <c r="L71" s="3"/>
      <c r="M71" s="3">
        <v>1</v>
      </c>
      <c r="N71" s="3">
        <v>44</v>
      </c>
      <c r="O71" s="3"/>
      <c r="P71" s="7">
        <f>IF(COUNTBLANK(D71:M71)=10,"",SUM(D71:M71))</f>
        <v>5</v>
      </c>
      <c r="Q71" s="7">
        <f>IF(COUNTBLANK(D71:O71)=12,"",MAX(N71+P71,O71+0.5*P71))</f>
        <v>49</v>
      </c>
      <c r="R71" s="8">
        <f>IF(COUNTBLANK(N71:O71)=2,"",IF(AND(SUM(N71:O71)=0,P71&lt;0),0,Q71/100))</f>
        <v>0.49</v>
      </c>
      <c r="S71" s="7" t="str">
        <f>IF(R71="","ni opravljal izpita",IF(R71&lt;$U$3,"negativno",LOOKUP(R71,$U$3:$U$7,$V$3:$V$7)))</f>
        <v>negativno</v>
      </c>
    </row>
    <row r="72" spans="1:19" x14ac:dyDescent="0.25">
      <c r="A72" s="5">
        <v>27101554</v>
      </c>
      <c r="B72" s="5" t="s">
        <v>32</v>
      </c>
      <c r="C72" s="5" t="s">
        <v>1</v>
      </c>
      <c r="D72" s="3"/>
      <c r="E72" s="3">
        <v>1</v>
      </c>
      <c r="F72" s="3">
        <v>1</v>
      </c>
      <c r="G72" s="3">
        <v>0</v>
      </c>
      <c r="H72" s="3">
        <v>1</v>
      </c>
      <c r="I72" s="3"/>
      <c r="J72" s="3"/>
      <c r="K72" s="3"/>
      <c r="L72" s="3">
        <v>1</v>
      </c>
      <c r="M72" s="3"/>
      <c r="N72" s="3">
        <v>20</v>
      </c>
      <c r="O72" s="3">
        <v>20</v>
      </c>
      <c r="P72" s="7">
        <f>IF(COUNTBLANK(D72:M72)=10,"",SUM(D72:M72))</f>
        <v>4</v>
      </c>
      <c r="Q72" s="7">
        <f>IF(COUNTBLANK(D72:O72)=12,"",MAX(N72+P72,O72+0.5*P72))</f>
        <v>24</v>
      </c>
      <c r="R72" s="8">
        <f>IF(COUNTBLANK(N72:O72)=2,"",IF(AND(SUM(N72:O72)=0,P72&lt;0),0,Q72/100))</f>
        <v>0.24</v>
      </c>
      <c r="S72" s="7" t="str">
        <f>IF(R72="","ni opravljal izpita",IF(R72&lt;$U$3,"negativno",LOOKUP(R72,$U$3:$U$7,$V$3:$V$7)))</f>
        <v>negativno</v>
      </c>
    </row>
    <row r="73" spans="1:19" x14ac:dyDescent="0.25">
      <c r="A73" s="5">
        <v>27101922</v>
      </c>
      <c r="B73" s="5" t="s">
        <v>12</v>
      </c>
      <c r="C73" s="5" t="s">
        <v>1</v>
      </c>
      <c r="D73" s="3">
        <v>2</v>
      </c>
      <c r="E73" s="3">
        <v>0</v>
      </c>
      <c r="F73" s="3">
        <v>1</v>
      </c>
      <c r="G73" s="3">
        <v>2</v>
      </c>
      <c r="H73" s="3">
        <v>2</v>
      </c>
      <c r="I73" s="3"/>
      <c r="J73" s="3"/>
      <c r="K73" s="3">
        <v>1</v>
      </c>
      <c r="L73" s="3">
        <v>2</v>
      </c>
      <c r="M73" s="3"/>
      <c r="N73" s="3">
        <v>49</v>
      </c>
      <c r="O73" s="3"/>
      <c r="P73" s="7">
        <f>IF(COUNTBLANK(D73:M73)=10,"",SUM(D73:M73))</f>
        <v>10</v>
      </c>
      <c r="Q73" s="7">
        <f>IF(COUNTBLANK(D73:O73)=12,"",MAX(N73+P73,O73+0.5*P73))</f>
        <v>59</v>
      </c>
      <c r="R73" s="8">
        <f>IF(COUNTBLANK(N73:O73)=2,"",IF(AND(SUM(N73:O73)=0,P73&lt;0),0,Q73/100))</f>
        <v>0.59</v>
      </c>
      <c r="S73" s="7">
        <f>IF(R73="","ni opravljal izpita",IF(R73&lt;$U$3,"negativno",LOOKUP(R73,$U$3:$U$7,$V$3:$V$7)))</f>
        <v>6</v>
      </c>
    </row>
    <row r="74" spans="1:19" x14ac:dyDescent="0.25">
      <c r="A74" s="5">
        <v>27102198</v>
      </c>
      <c r="B74" s="5" t="s">
        <v>2</v>
      </c>
      <c r="C74" s="5" t="s">
        <v>1</v>
      </c>
      <c r="D74" s="3">
        <v>2</v>
      </c>
      <c r="E74" s="3">
        <v>2</v>
      </c>
      <c r="F74" s="3">
        <v>2</v>
      </c>
      <c r="G74" s="3">
        <v>2</v>
      </c>
      <c r="H74" s="3">
        <v>2</v>
      </c>
      <c r="I74" s="3">
        <v>2</v>
      </c>
      <c r="J74" s="3">
        <v>2</v>
      </c>
      <c r="K74" s="3">
        <v>2</v>
      </c>
      <c r="L74" s="3">
        <v>2</v>
      </c>
      <c r="M74" s="3">
        <v>2</v>
      </c>
      <c r="N74" s="3">
        <v>76</v>
      </c>
      <c r="O74" s="3"/>
      <c r="P74" s="7">
        <f>IF(COUNTBLANK(D74:M74)=10,"",SUM(D74:M74))</f>
        <v>20</v>
      </c>
      <c r="Q74" s="7">
        <f>IF(COUNTBLANK(D74:O74)=12,"",MAX(N74+P74,O74+0.5*P74))</f>
        <v>96</v>
      </c>
      <c r="R74" s="8">
        <f>IF(COUNTBLANK(N74:O74)=2,"",IF(AND(SUM(N74:O74)=0,P74&lt;0),0,Q74/100))</f>
        <v>0.96</v>
      </c>
      <c r="S74" s="7">
        <f>IF(R74="","ni opravljal izpita",IF(R74&lt;$U$3,"negativno",LOOKUP(R74,$U$3:$U$7,$V$3:$V$7)))</f>
        <v>10</v>
      </c>
    </row>
    <row r="75" spans="1:19" x14ac:dyDescent="0.25">
      <c r="A75" s="5">
        <v>27101692</v>
      </c>
      <c r="B75" s="5" t="s">
        <v>26</v>
      </c>
      <c r="C75" s="5" t="s">
        <v>1</v>
      </c>
      <c r="D75" s="3">
        <v>1</v>
      </c>
      <c r="E75" s="3">
        <v>2</v>
      </c>
      <c r="F75" s="3">
        <v>2</v>
      </c>
      <c r="G75" s="3">
        <v>1</v>
      </c>
      <c r="H75" s="3">
        <v>2</v>
      </c>
      <c r="I75" s="3">
        <v>1</v>
      </c>
      <c r="J75" s="3">
        <v>1</v>
      </c>
      <c r="K75" s="3"/>
      <c r="L75" s="3">
        <v>1</v>
      </c>
      <c r="M75" s="3">
        <v>2</v>
      </c>
      <c r="N75" s="3">
        <v>59</v>
      </c>
      <c r="O75" s="3">
        <v>75</v>
      </c>
      <c r="P75" s="7">
        <f>IF(COUNTBLANK(D75:M75)=10,"",SUM(D75:M75))</f>
        <v>13</v>
      </c>
      <c r="Q75" s="7">
        <f>IF(COUNTBLANK(D75:O75)=12,"",MAX(N75+P75,O75+0.5*P75))</f>
        <v>81.5</v>
      </c>
      <c r="R75" s="8">
        <f>IF(COUNTBLANK(N75:O75)=2,"",IF(AND(SUM(N75:O75)=0,P75&lt;0),0,Q75/100))</f>
        <v>0.81499999999999995</v>
      </c>
      <c r="S75" s="7">
        <f>IF(R75="","ni opravljal izpita",IF(R75&lt;$U$3,"negativno",LOOKUP(R75,$U$3:$U$7,$V$3:$V$7)))</f>
        <v>9</v>
      </c>
    </row>
    <row r="76" spans="1:19" x14ac:dyDescent="0.25">
      <c r="A76" s="5">
        <v>27101226</v>
      </c>
      <c r="B76" s="5" t="s">
        <v>45</v>
      </c>
      <c r="C76" s="5" t="s">
        <v>1</v>
      </c>
      <c r="D76" s="3">
        <v>2</v>
      </c>
      <c r="E76" s="3">
        <v>1</v>
      </c>
      <c r="F76" s="3">
        <v>1</v>
      </c>
      <c r="G76" s="3">
        <v>1</v>
      </c>
      <c r="H76" s="3">
        <v>2</v>
      </c>
      <c r="I76" s="3">
        <v>0</v>
      </c>
      <c r="J76" s="3"/>
      <c r="K76" s="3"/>
      <c r="L76" s="3"/>
      <c r="M76" s="3"/>
      <c r="N76" s="3"/>
      <c r="O76" s="3"/>
      <c r="P76" s="7">
        <f>IF(COUNTBLANK(D76:M76)=10,"",SUM(D76:M76))</f>
        <v>7</v>
      </c>
      <c r="Q76" s="7">
        <f>IF(COUNTBLANK(D76:O76)=12,"",MAX(N76+P76,O76+0.5*P76))</f>
        <v>7</v>
      </c>
      <c r="R76" s="8" t="str">
        <f>IF(COUNTBLANK(N76:O76)=2,"",IF(AND(SUM(N76:O76)=0,P76&lt;0),0,Q76/100))</f>
        <v/>
      </c>
      <c r="S76" s="7" t="str">
        <f>IF(R76="","ni opravljal izpita",IF(R76&lt;$U$3,"negativno",LOOKUP(R76,$U$3:$U$7,$V$3:$V$7)))</f>
        <v>ni opravljal izpita</v>
      </c>
    </row>
    <row r="77" spans="1:19" x14ac:dyDescent="0.25">
      <c r="A77" s="5">
        <v>27101811</v>
      </c>
      <c r="B77" s="5" t="s">
        <v>21</v>
      </c>
      <c r="C77" s="5" t="s">
        <v>1</v>
      </c>
      <c r="D77" s="3">
        <v>2</v>
      </c>
      <c r="E77" s="3">
        <v>2</v>
      </c>
      <c r="F77" s="3">
        <v>2</v>
      </c>
      <c r="G77" s="3">
        <v>1</v>
      </c>
      <c r="H77" s="3">
        <v>2</v>
      </c>
      <c r="I77" s="3">
        <v>1</v>
      </c>
      <c r="J77" s="3">
        <v>2</v>
      </c>
      <c r="K77" s="3">
        <v>2</v>
      </c>
      <c r="L77" s="3">
        <v>2</v>
      </c>
      <c r="M77" s="3">
        <v>2</v>
      </c>
      <c r="N77" s="3">
        <v>40</v>
      </c>
      <c r="O77" s="3"/>
      <c r="P77" s="7">
        <f>IF(COUNTBLANK(D77:M77)=10,"",SUM(D77:M77))</f>
        <v>18</v>
      </c>
      <c r="Q77" s="7">
        <f>IF(COUNTBLANK(D77:O77)=12,"",MAX(N77+P77,O77+0.5*P77))</f>
        <v>58</v>
      </c>
      <c r="R77" s="8">
        <f>IF(COUNTBLANK(N77:O77)=2,"",IF(AND(SUM(N77:O77)=0,P77&lt;0),0,Q77/100))</f>
        <v>0.57999999999999996</v>
      </c>
      <c r="S77" s="7">
        <f>IF(R77="","ni opravljal izpita",IF(R77&lt;$U$3,"negativno",LOOKUP(R77,$U$3:$U$7,$V$3:$V$7)))</f>
        <v>6</v>
      </c>
    </row>
    <row r="78" spans="1:19" x14ac:dyDescent="0.25">
      <c r="A78" s="12">
        <v>27049021.379999999</v>
      </c>
      <c r="B78" s="5" t="s">
        <v>57</v>
      </c>
      <c r="C78" s="5" t="s">
        <v>1</v>
      </c>
      <c r="D78" s="3"/>
      <c r="E78" s="3">
        <v>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7">
        <f>IF(COUNTBLANK(D78:M78)=10,"",SUM(D78:M78))</f>
        <v>1</v>
      </c>
      <c r="Q78" s="7">
        <f>IF(COUNTBLANK(D78:O78)=12,"",MAX(N78+P78,O78+0.5*P78))</f>
        <v>1</v>
      </c>
      <c r="R78" s="8" t="str">
        <f>IF(COUNTBLANK(N78:O78)=2,"",IF(AND(SUM(N78:O78)=0,P78&lt;0),0,Q78/100))</f>
        <v/>
      </c>
      <c r="S78" s="7" t="str">
        <f>IF(R78="","ni opravljal izpita",IF(R78&lt;$U$3,"negativno",LOOKUP(R78,$U$3:$U$7,$V$3:$V$7)))</f>
        <v>ni opravljal izpita</v>
      </c>
    </row>
    <row r="79" spans="1:19" x14ac:dyDescent="0.25">
      <c r="A79" s="5">
        <v>27101618</v>
      </c>
      <c r="B79" s="5" t="s">
        <v>30</v>
      </c>
      <c r="C79" s="5" t="s">
        <v>1</v>
      </c>
      <c r="D79" s="3">
        <v>0</v>
      </c>
      <c r="E79" s="3">
        <v>0</v>
      </c>
      <c r="F79" s="3">
        <v>1</v>
      </c>
      <c r="G79" s="3">
        <v>1</v>
      </c>
      <c r="H79" s="3">
        <v>2</v>
      </c>
      <c r="I79" s="3">
        <v>0</v>
      </c>
      <c r="J79" s="3"/>
      <c r="K79" s="3">
        <v>0</v>
      </c>
      <c r="L79" s="3">
        <v>2</v>
      </c>
      <c r="M79" s="3">
        <v>0</v>
      </c>
      <c r="N79" s="3">
        <v>17</v>
      </c>
      <c r="O79" s="3">
        <v>26</v>
      </c>
      <c r="P79" s="7">
        <f>IF(COUNTBLANK(D79:M79)=10,"",SUM(D79:M79))</f>
        <v>6</v>
      </c>
      <c r="Q79" s="7">
        <f>IF(COUNTBLANK(D79:O79)=12,"",MAX(N79+P79,O79+0.5*P79))</f>
        <v>29</v>
      </c>
      <c r="R79" s="8">
        <f>IF(COUNTBLANK(N79:O79)=2,"",IF(AND(SUM(N79:O79)=0,P79&lt;0),0,Q79/100))</f>
        <v>0.28999999999999998</v>
      </c>
      <c r="S79" s="7" t="str">
        <f>IF(R79="","ni opravljal izpita",IF(R79&lt;$U$3,"negativno",LOOKUP(R79,$U$3:$U$7,$V$3:$V$7)))</f>
        <v>negativno</v>
      </c>
    </row>
    <row r="80" spans="1:19" x14ac:dyDescent="0.25">
      <c r="A80" s="5">
        <v>27005927</v>
      </c>
      <c r="B80" s="5" t="s">
        <v>84</v>
      </c>
      <c r="C80" s="5" t="s">
        <v>1</v>
      </c>
      <c r="D80" s="3">
        <v>2</v>
      </c>
      <c r="E80" s="3">
        <v>1</v>
      </c>
      <c r="F80" s="3">
        <v>2</v>
      </c>
      <c r="G80" s="3"/>
      <c r="H80" s="3">
        <v>2</v>
      </c>
      <c r="I80" s="3"/>
      <c r="J80" s="3"/>
      <c r="K80" s="3"/>
      <c r="L80" s="3"/>
      <c r="M80" s="3"/>
      <c r="N80" s="3"/>
      <c r="O80" s="3"/>
      <c r="P80" s="7">
        <f>IF(COUNTBLANK(D80:M80)=10,"",SUM(D80:M80))</f>
        <v>7</v>
      </c>
      <c r="Q80" s="7">
        <v>5</v>
      </c>
      <c r="R80" s="8" t="str">
        <f>IF(COUNTBLANK(N80:O80)=2,"",IF(AND(SUM(N80:O80)=0,P80&lt;0),0,Q80/100))</f>
        <v/>
      </c>
      <c r="S80" s="7" t="str">
        <f>IF(R80="","ni opravljal izpita",IF(R80&lt;$U$3,"negativno",LOOKUP(R80,$U$3:$U$7,$V$3:$V$7)))</f>
        <v>ni opravljal izpita</v>
      </c>
    </row>
    <row r="81" spans="1:19" x14ac:dyDescent="0.25">
      <c r="A81" s="5">
        <v>27101489</v>
      </c>
      <c r="B81" s="5" t="s">
        <v>9</v>
      </c>
      <c r="C81" s="5" t="s">
        <v>1</v>
      </c>
      <c r="D81" s="3">
        <v>2</v>
      </c>
      <c r="E81" s="3">
        <v>2</v>
      </c>
      <c r="F81" s="3">
        <v>1</v>
      </c>
      <c r="G81" s="3">
        <v>1</v>
      </c>
      <c r="H81" s="3">
        <v>2</v>
      </c>
      <c r="I81" s="3"/>
      <c r="J81" s="3">
        <v>0</v>
      </c>
      <c r="K81" s="3">
        <v>0</v>
      </c>
      <c r="L81" s="3">
        <v>1</v>
      </c>
      <c r="M81" s="3">
        <v>2</v>
      </c>
      <c r="N81" s="3">
        <v>10</v>
      </c>
      <c r="O81" s="3">
        <v>40</v>
      </c>
      <c r="P81" s="7">
        <f>IF(COUNTBLANK(D81:M81)=10,"",SUM(D81:M81))</f>
        <v>11</v>
      </c>
      <c r="Q81" s="7">
        <f>IF(COUNTBLANK(D81:O81)=12,"",MAX(N81+P81,O81+0.5*P81))</f>
        <v>45.5</v>
      </c>
      <c r="R81" s="8">
        <f>IF(COUNTBLANK(N81:O81)=2,"",IF(AND(SUM(N81:O81)=0,P81&lt;0),0,Q81/100))</f>
        <v>0.45500000000000002</v>
      </c>
      <c r="S81" s="7" t="str">
        <f>IF(R81="","ni opravljal izpita",IF(R81&lt;$U$3,"negativno",LOOKUP(R81,$U$3:$U$7,$V$3:$V$7)))</f>
        <v>negativno</v>
      </c>
    </row>
    <row r="82" spans="1:19" x14ac:dyDescent="0.25">
      <c r="A82" s="5">
        <v>27101961</v>
      </c>
      <c r="B82" s="5" t="s">
        <v>9</v>
      </c>
      <c r="C82" s="5" t="s">
        <v>1</v>
      </c>
      <c r="D82" s="3">
        <v>2</v>
      </c>
      <c r="E82" s="3">
        <v>1</v>
      </c>
      <c r="F82" s="3">
        <v>1</v>
      </c>
      <c r="G82" s="3">
        <v>2</v>
      </c>
      <c r="H82" s="3">
        <v>2</v>
      </c>
      <c r="I82" s="3">
        <v>0</v>
      </c>
      <c r="J82" s="3">
        <v>2</v>
      </c>
      <c r="K82" s="3">
        <v>2</v>
      </c>
      <c r="L82" s="3">
        <v>1</v>
      </c>
      <c r="M82" s="3">
        <v>1</v>
      </c>
      <c r="N82" s="3">
        <v>55</v>
      </c>
      <c r="O82" s="3"/>
      <c r="P82" s="7">
        <f>IF(COUNTBLANK(D82:M82)=10,"",SUM(D82:M82))</f>
        <v>14</v>
      </c>
      <c r="Q82" s="7">
        <f>IF(COUNTBLANK(D82:O82)=12,"",MAX(N82+P82,O82+0.5*P82))</f>
        <v>69</v>
      </c>
      <c r="R82" s="8">
        <f>IF(COUNTBLANK(N82:O82)=2,"",IF(AND(SUM(N82:O82)=0,P82&lt;0),0,Q82/100))</f>
        <v>0.69</v>
      </c>
      <c r="S82" s="7">
        <f>IF(R82="","ni opravljal izpita",IF(R82&lt;$U$3,"negativno",LOOKUP(R82,$U$3:$U$7,$V$3:$V$7)))</f>
        <v>7</v>
      </c>
    </row>
    <row r="83" spans="1:19" x14ac:dyDescent="0.25">
      <c r="A83" s="5">
        <v>27091113</v>
      </c>
      <c r="B83" s="5" t="s">
        <v>80</v>
      </c>
      <c r="C83" s="5" t="s">
        <v>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>
        <v>35</v>
      </c>
      <c r="O83" s="3"/>
      <c r="P83" s="7"/>
      <c r="Q83" s="7">
        <f>IF(COUNTBLANK(D83:O83)=12,"",MAX(N83+P83,O83+0.5*P83))</f>
        <v>35</v>
      </c>
      <c r="R83" s="8">
        <f>IF(COUNTBLANK(N83:O83)=2,"",IF(AND(SUM(N83:O83)=0,P83&lt;0),0,Q83/100))</f>
        <v>0.35</v>
      </c>
      <c r="S83" s="7" t="str">
        <f>IF(R83="","ni opravljal izpita",IF(R83&lt;$U$3,"negativno",LOOKUP(R83,$U$3:$U$7,$V$3:$V$7)))</f>
        <v>negativno</v>
      </c>
    </row>
    <row r="84" spans="1:19" x14ac:dyDescent="0.25">
      <c r="A84" s="5">
        <v>27024267</v>
      </c>
      <c r="B84" s="5" t="s">
        <v>66</v>
      </c>
      <c r="C84" s="5" t="s">
        <v>61</v>
      </c>
      <c r="D84" s="3">
        <v>1</v>
      </c>
      <c r="E84" s="3">
        <v>2</v>
      </c>
      <c r="F84" s="3"/>
      <c r="G84" s="3">
        <v>1</v>
      </c>
      <c r="H84" s="3">
        <v>2</v>
      </c>
      <c r="I84" s="3"/>
      <c r="J84" s="3"/>
      <c r="K84" s="3">
        <v>1</v>
      </c>
      <c r="L84" s="3"/>
      <c r="M84" s="3">
        <v>1</v>
      </c>
      <c r="N84" s="3">
        <v>24</v>
      </c>
      <c r="O84" s="3"/>
      <c r="P84" s="7">
        <f>IF(COUNTBLANK(D84:M84)=10,"",SUM(D84:M84))</f>
        <v>8</v>
      </c>
      <c r="Q84" s="7">
        <f>IF(COUNTBLANK(D84:O84)=12,"",MAX(N84+P84,O84+0.5*P84))</f>
        <v>32</v>
      </c>
      <c r="R84" s="8">
        <f>IF(COUNTBLANK(N84:O84)=2,"",IF(AND(SUM(N84:O84)=0,P84&lt;0),0,Q84/100))</f>
        <v>0.32</v>
      </c>
      <c r="S84" s="7" t="str">
        <f>IF(R84="","ni opravljal izpita",IF(R84&lt;$U$3,"negativno",LOOKUP(R84,$U$3:$U$7,$V$3:$V$7)))</f>
        <v>negativno</v>
      </c>
    </row>
    <row r="85" spans="1:19" x14ac:dyDescent="0.25">
      <c r="A85" s="5">
        <v>27101441</v>
      </c>
      <c r="B85" s="5" t="s">
        <v>19</v>
      </c>
      <c r="C85" s="5" t="s">
        <v>1</v>
      </c>
      <c r="D85" s="3">
        <v>1</v>
      </c>
      <c r="E85" s="3"/>
      <c r="F85" s="3">
        <v>1</v>
      </c>
      <c r="G85" s="3"/>
      <c r="H85" s="3">
        <v>2</v>
      </c>
      <c r="I85" s="3"/>
      <c r="J85" s="3"/>
      <c r="K85" s="3"/>
      <c r="L85" s="3"/>
      <c r="M85" s="3"/>
      <c r="N85" s="3">
        <v>5</v>
      </c>
      <c r="O85" s="3"/>
      <c r="P85" s="7">
        <f>IF(COUNTBLANK(D85:M85)=10,"",SUM(D85:M85))</f>
        <v>4</v>
      </c>
      <c r="Q85" s="7">
        <f>IF(COUNTBLANK(D85:O85)=12,"",MAX(N85+P85,O85+0.5*P85))</f>
        <v>9</v>
      </c>
      <c r="R85" s="8">
        <f>IF(COUNTBLANK(N85:O85)=2,"",IF(AND(SUM(N85:O85)=0,P85&lt;0),0,Q85/100))</f>
        <v>0.09</v>
      </c>
      <c r="S85" s="7" t="str">
        <f>IF(R85="","ni opravljal izpita",IF(R85&lt;$U$3,"negativno",LOOKUP(R85,$U$3:$U$7,$V$3:$V$7)))</f>
        <v>negativno</v>
      </c>
    </row>
    <row r="86" spans="1:19" x14ac:dyDescent="0.25">
      <c r="A86" s="5">
        <v>27101857</v>
      </c>
      <c r="B86" s="5" t="s">
        <v>19</v>
      </c>
      <c r="C86" s="5" t="s">
        <v>1</v>
      </c>
      <c r="D86" s="3">
        <v>2</v>
      </c>
      <c r="E86" s="3">
        <v>2</v>
      </c>
      <c r="F86" s="3">
        <v>2</v>
      </c>
      <c r="G86" s="3">
        <v>2</v>
      </c>
      <c r="H86" s="3">
        <v>2</v>
      </c>
      <c r="I86" s="3">
        <v>0</v>
      </c>
      <c r="J86" s="3">
        <v>1</v>
      </c>
      <c r="K86" s="3">
        <v>2</v>
      </c>
      <c r="L86" s="3">
        <v>2</v>
      </c>
      <c r="M86" s="3">
        <v>2</v>
      </c>
      <c r="N86" s="3">
        <v>37</v>
      </c>
      <c r="O86" s="3"/>
      <c r="P86" s="7">
        <f>IF(COUNTBLANK(D86:M86)=10,"",SUM(D86:M86))</f>
        <v>17</v>
      </c>
      <c r="Q86" s="7">
        <f>IF(COUNTBLANK(D86:O86)=12,"",MAX(N86+P86,O86+0.5*P86))</f>
        <v>54</v>
      </c>
      <c r="R86" s="8">
        <f>IF(COUNTBLANK(N86:O86)=2,"",IF(AND(SUM(N86:O86)=0,P86&lt;0),0,Q86/100))</f>
        <v>0.54</v>
      </c>
      <c r="S86" s="7">
        <f>IF(R86="","ni opravljal izpita",IF(R86&lt;$U$3,"negativno",LOOKUP(R86,$U$3:$U$7,$V$3:$V$7)))</f>
        <v>6</v>
      </c>
    </row>
    <row r="87" spans="1:19" x14ac:dyDescent="0.25">
      <c r="A87" s="5">
        <v>27101241</v>
      </c>
      <c r="B87" s="5" t="s">
        <v>5</v>
      </c>
      <c r="C87" s="5" t="s">
        <v>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7" t="str">
        <f>IF(COUNTBLANK(D87:M87)=10,"",SUM(D87:M87))</f>
        <v/>
      </c>
      <c r="Q87" s="7" t="str">
        <f>IF(COUNTBLANK(D87:O87)=12,"",MAX(N87+P87,O87+0.5*P87))</f>
        <v/>
      </c>
      <c r="R87" s="8" t="str">
        <f>IF(COUNTBLANK(N87:O87)=2,"",IF(AND(SUM(N87:O87)=0,P87&lt;0),0,Q87/100))</f>
        <v/>
      </c>
      <c r="S87" s="7" t="str">
        <f>IF(R87="","ni opravljal izpita",IF(R87&lt;$U$3,"negativno",LOOKUP(R87,$U$3:$U$7,$V$3:$V$7)))</f>
        <v>ni opravljal izpita</v>
      </c>
    </row>
    <row r="88" spans="1:19" x14ac:dyDescent="0.25">
      <c r="A88" s="5">
        <v>27102150</v>
      </c>
      <c r="B88" s="5" t="s">
        <v>5</v>
      </c>
      <c r="C88" s="5" t="s">
        <v>1</v>
      </c>
      <c r="D88" s="3">
        <v>2</v>
      </c>
      <c r="E88" s="3">
        <v>1</v>
      </c>
      <c r="F88" s="3"/>
      <c r="G88" s="3">
        <v>1</v>
      </c>
      <c r="H88" s="3">
        <v>2</v>
      </c>
      <c r="I88" s="3">
        <v>1</v>
      </c>
      <c r="J88" s="3"/>
      <c r="K88" s="3">
        <v>1</v>
      </c>
      <c r="L88" s="3">
        <v>1</v>
      </c>
      <c r="M88" s="3">
        <v>2</v>
      </c>
      <c r="N88" s="3">
        <v>73</v>
      </c>
      <c r="O88" s="3"/>
      <c r="P88" s="7">
        <f>IF(COUNTBLANK(D88:M88)=10,"",SUM(D88:M88))</f>
        <v>11</v>
      </c>
      <c r="Q88" s="7">
        <f>IF(COUNTBLANK(D88:O88)=12,"",MAX(N88+P88,O88+0.5*P88))</f>
        <v>84</v>
      </c>
      <c r="R88" s="8">
        <f>IF(COUNTBLANK(N88:O88)=2,"",IF(AND(SUM(N88:O88)=0,P88&lt;0),0,Q88/100))</f>
        <v>0.84</v>
      </c>
      <c r="S88" s="7">
        <f>IF(R88="","ni opravljal izpita",IF(R88&lt;$U$3,"negativno",LOOKUP(R88,$U$3:$U$7,$V$3:$V$7)))</f>
        <v>9</v>
      </c>
    </row>
    <row r="89" spans="1:19" x14ac:dyDescent="0.25">
      <c r="A89" s="12">
        <v>27064934.329999998</v>
      </c>
      <c r="B89" s="5" t="s">
        <v>52</v>
      </c>
      <c r="C89" s="5" t="s">
        <v>1</v>
      </c>
      <c r="D89" s="3">
        <v>1</v>
      </c>
      <c r="E89" s="3">
        <v>0</v>
      </c>
      <c r="F89" s="3"/>
      <c r="G89" s="3"/>
      <c r="H89" s="3"/>
      <c r="I89" s="3"/>
      <c r="J89" s="3">
        <v>0</v>
      </c>
      <c r="K89" s="3"/>
      <c r="L89" s="3"/>
      <c r="M89" s="3"/>
      <c r="N89" s="3"/>
      <c r="O89" s="3"/>
      <c r="P89" s="7">
        <f>IF(COUNTBLANK(D89:M89)=10,"",SUM(D89:M89))</f>
        <v>1</v>
      </c>
      <c r="Q89" s="7">
        <f>IF(COUNTBLANK(D89:O89)=12,"",MAX(N89+P89,O89+0.5*P89))</f>
        <v>1</v>
      </c>
      <c r="R89" s="8" t="str">
        <f>IF(COUNTBLANK(N89:O89)=2,"",IF(AND(SUM(N89:O89)=0,P89&lt;0),0,Q89/100))</f>
        <v/>
      </c>
      <c r="S89" s="7" t="str">
        <f>IF(R89="","ni opravljal izpita",IF(R89&lt;$U$3,"negativno",LOOKUP(R89,$U$3:$U$7,$V$3:$V$7)))</f>
        <v>ni opravljal izpita</v>
      </c>
    </row>
    <row r="90" spans="1:19" x14ac:dyDescent="0.25">
      <c r="A90" s="5">
        <v>27101490</v>
      </c>
      <c r="B90" s="5" t="s">
        <v>35</v>
      </c>
      <c r="C90" s="5" t="s">
        <v>1</v>
      </c>
      <c r="D90" s="3">
        <v>1</v>
      </c>
      <c r="E90" s="3">
        <v>0</v>
      </c>
      <c r="F90" s="3">
        <v>1</v>
      </c>
      <c r="G90" s="3">
        <v>0</v>
      </c>
      <c r="H90" s="3">
        <v>2</v>
      </c>
      <c r="I90" s="3"/>
      <c r="J90" s="3">
        <v>0</v>
      </c>
      <c r="K90" s="3"/>
      <c r="L90" s="3">
        <v>1</v>
      </c>
      <c r="M90" s="3"/>
      <c r="N90" s="3">
        <v>10</v>
      </c>
      <c r="O90" s="3"/>
      <c r="P90" s="7">
        <f>IF(COUNTBLANK(D90:M90)=10,"",SUM(D90:M90))</f>
        <v>5</v>
      </c>
      <c r="Q90" s="7">
        <f>IF(COUNTBLANK(D90:O90)=12,"",MAX(N90+P90,O90+0.5*P90))</f>
        <v>15</v>
      </c>
      <c r="R90" s="8">
        <f>IF(COUNTBLANK(N90:O90)=2,"",IF(AND(SUM(N90:O90)=0,P90&lt;0),0,Q90/100))</f>
        <v>0.15</v>
      </c>
      <c r="S90" s="7" t="str">
        <f>IF(R90="","ni opravljal izpita",IF(R90&lt;$U$3,"negativno",LOOKUP(R90,$U$3:$U$7,$V$3:$V$7)))</f>
        <v>negativno</v>
      </c>
    </row>
    <row r="91" spans="1:19" x14ac:dyDescent="0.25">
      <c r="A91" s="12">
        <v>27033108.43</v>
      </c>
      <c r="B91" s="5" t="s">
        <v>65</v>
      </c>
      <c r="C91" s="5" t="s">
        <v>61</v>
      </c>
      <c r="D91" s="3">
        <v>2</v>
      </c>
      <c r="E91" s="3">
        <v>1</v>
      </c>
      <c r="F91" s="3">
        <v>2</v>
      </c>
      <c r="G91" s="3">
        <v>1</v>
      </c>
      <c r="H91" s="3">
        <v>2</v>
      </c>
      <c r="I91" s="3">
        <v>0</v>
      </c>
      <c r="J91" s="3">
        <v>0</v>
      </c>
      <c r="K91" s="3">
        <v>2</v>
      </c>
      <c r="L91" s="3">
        <v>2</v>
      </c>
      <c r="M91" s="3">
        <v>2</v>
      </c>
      <c r="N91" s="3">
        <v>44</v>
      </c>
      <c r="O91" s="3"/>
      <c r="P91" s="7">
        <f>IF(COUNTBLANK(D91:M91)=10,"",SUM(D91:M91))</f>
        <v>14</v>
      </c>
      <c r="Q91" s="7">
        <f>IF(COUNTBLANK(D91:O91)=12,"",MAX(N91+P91,O91+0.5*P91))</f>
        <v>58</v>
      </c>
      <c r="R91" s="8">
        <f>IF(COUNTBLANK(N91:O91)=2,"",IF(AND(SUM(N91:O91)=0,P91&lt;0),0,Q91/100))</f>
        <v>0.57999999999999996</v>
      </c>
      <c r="S91" s="7">
        <f>IF(R91="","ni opravljal izpita",IF(R91&lt;$U$3,"negativno",LOOKUP(R91,$U$3:$U$7,$V$3:$V$7)))</f>
        <v>6</v>
      </c>
    </row>
    <row r="92" spans="1:19" x14ac:dyDescent="0.25">
      <c r="A92" s="5">
        <v>27102162</v>
      </c>
      <c r="B92" s="5" t="s">
        <v>4</v>
      </c>
      <c r="C92" s="5" t="s">
        <v>1</v>
      </c>
      <c r="D92" s="3">
        <v>2</v>
      </c>
      <c r="E92" s="3">
        <v>2</v>
      </c>
      <c r="F92" s="3">
        <v>2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69</v>
      </c>
      <c r="O92" s="3"/>
      <c r="P92" s="7">
        <f>IF(COUNTBLANK(D92:M92)=10,"",SUM(D92:M92))</f>
        <v>20</v>
      </c>
      <c r="Q92" s="7">
        <f>IF(COUNTBLANK(D92:O92)=12,"",MAX(N92+P92,O92+0.5*P92))</f>
        <v>89</v>
      </c>
      <c r="R92" s="8">
        <f>IF(COUNTBLANK(N92:O92)=2,"",IF(AND(SUM(N92:O92)=0,P92&lt;0),0,Q92/100))</f>
        <v>0.89</v>
      </c>
      <c r="S92" s="7">
        <f>IF(R92="","ni opravljal izpita",IF(R92&lt;$U$3,"negativno",LOOKUP(R92,$U$3:$U$7,$V$3:$V$7)))</f>
        <v>9</v>
      </c>
    </row>
    <row r="93" spans="1:19" x14ac:dyDescent="0.25">
      <c r="A93" s="5">
        <v>27101845</v>
      </c>
      <c r="B93" s="5" t="s">
        <v>20</v>
      </c>
      <c r="C93" s="5" t="s">
        <v>1</v>
      </c>
      <c r="D93" s="3">
        <v>2</v>
      </c>
      <c r="E93" s="3">
        <v>2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46</v>
      </c>
      <c r="O93" s="3">
        <v>58</v>
      </c>
      <c r="P93" s="7">
        <f>IF(COUNTBLANK(D93:M93)=10,"",SUM(D93:M93))</f>
        <v>20</v>
      </c>
      <c r="Q93" s="7">
        <f>IF(COUNTBLANK(D93:O93)=12,"",MAX(N93+P93,O93+0.5*P93))</f>
        <v>68</v>
      </c>
      <c r="R93" s="8">
        <f>IF(COUNTBLANK(N93:O93)=2,"",IF(AND(SUM(N93:O93)=0,P93&lt;0),0,Q93/100))</f>
        <v>0.68</v>
      </c>
      <c r="S93" s="7">
        <f>IF(R93="","ni opravljal izpita",IF(R93&lt;$U$3,"negativno",LOOKUP(R93,$U$3:$U$7,$V$3:$V$7)))</f>
        <v>7</v>
      </c>
    </row>
    <row r="94" spans="1:19" x14ac:dyDescent="0.25">
      <c r="A94" s="5">
        <v>26999514</v>
      </c>
      <c r="B94" s="5" t="s">
        <v>74</v>
      </c>
      <c r="C94" s="5" t="s">
        <v>61</v>
      </c>
      <c r="D94" s="3">
        <v>0</v>
      </c>
      <c r="E94" s="3"/>
      <c r="F94" s="3"/>
      <c r="G94" s="3"/>
      <c r="H94" s="3"/>
      <c r="I94" s="3"/>
      <c r="J94" s="3"/>
      <c r="K94" s="3"/>
      <c r="L94" s="3"/>
      <c r="M94" s="3"/>
      <c r="N94" s="3">
        <v>0</v>
      </c>
      <c r="O94" s="3"/>
      <c r="P94" s="7">
        <f>IF(COUNTBLANK(D94:M94)=10,"",SUM(D94:M94))</f>
        <v>0</v>
      </c>
      <c r="Q94" s="7">
        <f>IF(COUNTBLANK(D94:O94)=12,"",MAX(N94+P94,O94+0.5*P94))</f>
        <v>0</v>
      </c>
      <c r="R94" s="8">
        <f>IF(COUNTBLANK(N94:O94)=2,"",IF(AND(SUM(N94:O94)=0,P94&lt;0),0,Q94/100))</f>
        <v>0</v>
      </c>
      <c r="S94" s="7" t="str">
        <f>IF(R94="","ni opravljal izpita",IF(R94&lt;$U$3,"negativno",LOOKUP(R94,$U$3:$U$7,$V$3:$V$7)))</f>
        <v>negativno</v>
      </c>
    </row>
    <row r="95" spans="1:19" x14ac:dyDescent="0.25">
      <c r="A95" s="5">
        <v>27101137</v>
      </c>
      <c r="B95" s="5" t="s">
        <v>48</v>
      </c>
      <c r="C95" s="5" t="s">
        <v>1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7" t="str">
        <f>IF(COUNTBLANK(D95:M95)=10,"",SUM(D95:M95))</f>
        <v/>
      </c>
      <c r="Q95" s="7" t="str">
        <f>IF(COUNTBLANK(D95:O95)=12,"",MAX(N95+P95,O95+0.5*P95))</f>
        <v/>
      </c>
      <c r="R95" s="8" t="str">
        <f>IF(COUNTBLANK(N95:O95)=2,"",IF(AND(SUM(N95:O95)=0,P95&lt;0),0,Q95/100))</f>
        <v/>
      </c>
      <c r="S95" s="7" t="str">
        <f>IF(R95="","ni opravljal izpita",IF(R95&lt;$U$3,"negativno",LOOKUP(R95,$U$3:$U$7,$V$3:$V$7)))</f>
        <v>ni opravljal izpita</v>
      </c>
    </row>
    <row r="96" spans="1:19" x14ac:dyDescent="0.25">
      <c r="A96" s="12">
        <v>27043717.059999999</v>
      </c>
      <c r="B96" s="5" t="s">
        <v>60</v>
      </c>
      <c r="C96" s="5" t="s">
        <v>61</v>
      </c>
      <c r="D96" s="3">
        <v>2</v>
      </c>
      <c r="E96" s="3">
        <v>1</v>
      </c>
      <c r="F96" s="3">
        <v>1</v>
      </c>
      <c r="G96" s="3">
        <v>1</v>
      </c>
      <c r="H96" s="3">
        <v>2</v>
      </c>
      <c r="I96" s="3"/>
      <c r="J96" s="3"/>
      <c r="K96" s="3">
        <v>2</v>
      </c>
      <c r="L96" s="3">
        <v>2</v>
      </c>
      <c r="M96" s="3">
        <v>2</v>
      </c>
      <c r="N96" s="3">
        <v>80</v>
      </c>
      <c r="O96" s="3"/>
      <c r="P96" s="7">
        <f>IF(COUNTBLANK(D96:M96)=10,"",SUM(D96:M96))</f>
        <v>13</v>
      </c>
      <c r="Q96" s="7">
        <f>IF(COUNTBLANK(D96:O96)=12,"",MAX(N96+P96,O96+0.5*P96))</f>
        <v>93</v>
      </c>
      <c r="R96" s="8">
        <f>IF(COUNTBLANK(N96:O96)=2,"",IF(AND(SUM(N96:O96)=0,P96&lt;0),0,Q96/100))</f>
        <v>0.93</v>
      </c>
      <c r="S96" s="7">
        <f>IF(R96="","ni opravljal izpita",IF(R96&lt;$U$3,"negativno",LOOKUP(R96,$U$3:$U$7,$V$3:$V$7)))</f>
        <v>10</v>
      </c>
    </row>
    <row r="97" spans="1:19" x14ac:dyDescent="0.25">
      <c r="A97" s="12">
        <v>27034876.539999999</v>
      </c>
      <c r="B97" s="5" t="s">
        <v>64</v>
      </c>
      <c r="C97" s="5" t="s">
        <v>61</v>
      </c>
      <c r="D97" s="3">
        <v>2</v>
      </c>
      <c r="E97" s="3">
        <v>1</v>
      </c>
      <c r="F97" s="3">
        <v>1</v>
      </c>
      <c r="G97" s="3">
        <v>2</v>
      </c>
      <c r="H97" s="3">
        <v>2</v>
      </c>
      <c r="I97" s="3"/>
      <c r="J97" s="3">
        <v>1</v>
      </c>
      <c r="K97" s="3">
        <v>1</v>
      </c>
      <c r="L97" s="3">
        <v>1</v>
      </c>
      <c r="M97" s="3">
        <v>1</v>
      </c>
      <c r="N97" s="3">
        <v>49</v>
      </c>
      <c r="O97" s="3"/>
      <c r="P97" s="7">
        <f>IF(COUNTBLANK(D97:M97)=10,"",SUM(D97:M97))</f>
        <v>12</v>
      </c>
      <c r="Q97" s="7">
        <f>IF(COUNTBLANK(D97:O97)=12,"",MAX(N97+P97,O97+0.5*P97))</f>
        <v>61</v>
      </c>
      <c r="R97" s="8">
        <f>IF(COUNTBLANK(N97:O97)=2,"",IF(AND(SUM(N97:O97)=0,P97&lt;0),0,Q97/100))</f>
        <v>0.61</v>
      </c>
      <c r="S97" s="7">
        <f>IF(R97="","ni opravljal izpita",IF(R97&lt;$U$3,"negativno",LOOKUP(R97,$U$3:$U$7,$V$3:$V$7)))</f>
        <v>7</v>
      </c>
    </row>
    <row r="98" spans="1:19" x14ac:dyDescent="0.25">
      <c r="A98" s="5">
        <v>27101719</v>
      </c>
      <c r="B98" s="5" t="s">
        <v>25</v>
      </c>
      <c r="C98" s="5" t="s">
        <v>1</v>
      </c>
      <c r="D98" s="3">
        <v>2</v>
      </c>
      <c r="E98" s="3">
        <v>2</v>
      </c>
      <c r="F98" s="3">
        <v>2</v>
      </c>
      <c r="G98" s="3">
        <v>1</v>
      </c>
      <c r="H98" s="3">
        <v>2</v>
      </c>
      <c r="I98" s="3">
        <v>2</v>
      </c>
      <c r="J98" s="3">
        <v>1</v>
      </c>
      <c r="K98" s="3">
        <v>2</v>
      </c>
      <c r="L98" s="3">
        <v>2</v>
      </c>
      <c r="M98" s="3">
        <v>2</v>
      </c>
      <c r="N98" s="3">
        <v>39</v>
      </c>
      <c r="O98" s="3">
        <v>55</v>
      </c>
      <c r="P98" s="7">
        <f>IF(COUNTBLANK(D98:M98)=10,"",SUM(D98:M98))</f>
        <v>18</v>
      </c>
      <c r="Q98" s="7">
        <f>IF(COUNTBLANK(D98:O98)=12,"",MAX(N98+P98,O98+0.5*P98))</f>
        <v>64</v>
      </c>
      <c r="R98" s="8">
        <f>IF(COUNTBLANK(N98:O98)=2,"",IF(AND(SUM(N98:O98)=0,P98&lt;0),0,Q98/100))</f>
        <v>0.64</v>
      </c>
      <c r="S98" s="7">
        <f>IF(R98="","ni opravljal izpita",IF(R98&lt;$U$3,"negativno",LOOKUP(R98,$U$3:$U$7,$V$3:$V$7)))</f>
        <v>7</v>
      </c>
    </row>
    <row r="99" spans="1:19" x14ac:dyDescent="0.25">
      <c r="A99" s="5">
        <v>27101720</v>
      </c>
      <c r="B99" s="5" t="s">
        <v>24</v>
      </c>
      <c r="C99" s="5" t="s">
        <v>1</v>
      </c>
      <c r="D99" s="3">
        <v>2</v>
      </c>
      <c r="E99" s="3">
        <v>1</v>
      </c>
      <c r="F99" s="3">
        <v>1</v>
      </c>
      <c r="G99" s="3">
        <v>2</v>
      </c>
      <c r="H99" s="3">
        <v>2</v>
      </c>
      <c r="I99" s="3">
        <v>0</v>
      </c>
      <c r="J99" s="3">
        <v>0</v>
      </c>
      <c r="K99" s="3">
        <v>1</v>
      </c>
      <c r="L99" s="3">
        <v>1</v>
      </c>
      <c r="M99" s="3">
        <v>2</v>
      </c>
      <c r="N99" s="3">
        <v>28</v>
      </c>
      <c r="O99" s="3"/>
      <c r="P99" s="7">
        <f>IF(COUNTBLANK(D99:M99)=10,"",SUM(D99:M99))</f>
        <v>12</v>
      </c>
      <c r="Q99" s="7">
        <f>IF(COUNTBLANK(D99:O99)=12,"",MAX(N99+P99,O99+0.5*P99))</f>
        <v>40</v>
      </c>
      <c r="R99" s="8">
        <f>IF(COUNTBLANK(N99:O99)=2,"",IF(AND(SUM(N99:O99)=0,P99&lt;0),0,Q99/100))</f>
        <v>0.4</v>
      </c>
      <c r="S99" s="7" t="str">
        <f>IF(R99="","ni opravljal izpita",IF(R99&lt;$U$3,"negativno",LOOKUP(R99,$U$3:$U$7,$V$3:$V$7)))</f>
        <v>negativno</v>
      </c>
    </row>
    <row r="100" spans="1:19" x14ac:dyDescent="0.25">
      <c r="A100" s="12">
        <v>27050789.489999998</v>
      </c>
      <c r="B100" s="5" t="s">
        <v>41</v>
      </c>
      <c r="C100" s="5" t="s">
        <v>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7" t="str">
        <f>IF(COUNTBLANK(D100:M100)=10,"",SUM(D100:M100))</f>
        <v/>
      </c>
      <c r="Q100" s="7" t="str">
        <f>IF(COUNTBLANK(D100:O100)=12,"",MAX(N100+P100,O100+0.5*P100))</f>
        <v/>
      </c>
      <c r="R100" s="8" t="str">
        <f>IF(COUNTBLANK(N100:O100)=2,"",IF(AND(SUM(N100:O100)=0,P100&lt;0),0,Q100/100))</f>
        <v/>
      </c>
      <c r="S100" s="7" t="str">
        <f>IF(R100="","ni opravljal izpita",IF(R100&lt;$U$3,"negativno",LOOKUP(R100,$U$3:$U$7,$V$3:$V$7)))</f>
        <v>ni opravljal izpita</v>
      </c>
    </row>
    <row r="101" spans="1:19" x14ac:dyDescent="0.25">
      <c r="A101" s="5">
        <v>27101340</v>
      </c>
      <c r="B101" s="5" t="s">
        <v>41</v>
      </c>
      <c r="C101" s="5" t="s">
        <v>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7" t="str">
        <f>IF(COUNTBLANK(D101:M101)=10,"",SUM(D101:M101))</f>
        <v/>
      </c>
      <c r="Q101" s="7" t="str">
        <f>IF(COUNTBLANK(D101:O101)=12,"",MAX(N101+P101,O101+0.5*P101))</f>
        <v/>
      </c>
      <c r="R101" s="8" t="str">
        <f>IF(COUNTBLANK(N101:O101)=2,"",IF(AND(SUM(N101:O101)=0,P101&lt;0),0,Q101/100))</f>
        <v/>
      </c>
      <c r="S101" s="7" t="str">
        <f>IF(R101="","ni opravljal izpita",IF(R101&lt;$U$3,"negativno",LOOKUP(R101,$U$3:$U$7,$V$3:$V$7)))</f>
        <v>ni opravljal izpita</v>
      </c>
    </row>
    <row r="102" spans="1:19" x14ac:dyDescent="0.25">
      <c r="A102" s="5">
        <v>27001282</v>
      </c>
      <c r="B102" s="5" t="s">
        <v>73</v>
      </c>
      <c r="C102" s="5" t="s">
        <v>61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/>
      <c r="M102" s="3">
        <v>0</v>
      </c>
      <c r="N102" s="3">
        <v>0</v>
      </c>
      <c r="O102" s="3"/>
      <c r="P102" s="7">
        <f>IF(COUNTBLANK(D102:M102)=10,"",SUM(D102:M102))</f>
        <v>1</v>
      </c>
      <c r="Q102" s="7">
        <f>IF(COUNTBLANK(D102:O102)=12,"",MAX(N102+P102,O102+0.5*P102))</f>
        <v>1</v>
      </c>
      <c r="R102" s="8">
        <f>IF(COUNTBLANK(N102:O102)=2,"",IF(AND(SUM(N102:O102)=0,P102&lt;0),0,Q102/100))</f>
        <v>0.01</v>
      </c>
      <c r="S102" s="7" t="str">
        <f>IF(R102="","ni opravljal izpita",IF(R102&lt;$U$3,"negativno",LOOKUP(R102,$U$3:$U$7,$V$3:$V$7)))</f>
        <v>negativno</v>
      </c>
    </row>
    <row r="103" spans="1:19" x14ac:dyDescent="0.25">
      <c r="A103" s="5">
        <v>27091073</v>
      </c>
      <c r="B103" s="5" t="s">
        <v>81</v>
      </c>
      <c r="C103" s="5" t="s">
        <v>1</v>
      </c>
      <c r="D103" s="3">
        <v>2</v>
      </c>
      <c r="E103" s="3">
        <v>1</v>
      </c>
      <c r="F103" s="3">
        <v>1</v>
      </c>
      <c r="G103" s="3">
        <v>0</v>
      </c>
      <c r="H103" s="3">
        <v>2</v>
      </c>
      <c r="I103" s="3">
        <v>0</v>
      </c>
      <c r="J103" s="3"/>
      <c r="K103" s="3">
        <v>0</v>
      </c>
      <c r="L103" s="3">
        <v>1</v>
      </c>
      <c r="M103" s="3">
        <v>0</v>
      </c>
      <c r="N103" s="3">
        <v>15</v>
      </c>
      <c r="O103" s="3"/>
      <c r="P103" s="7">
        <f>IF(COUNTBLANK(D103:M103)=10,"",SUM(D103:M103))</f>
        <v>7</v>
      </c>
      <c r="Q103" s="7">
        <f>IF(COUNTBLANK(D103:O103)=12,"",MAX(N103+P103,O103+0.5*P103))</f>
        <v>22</v>
      </c>
      <c r="R103" s="8">
        <f>IF(COUNTBLANK(N103:O103)=2,"",IF(AND(SUM(N103:O103)=0,P103&lt;0),0,Q103/100))</f>
        <v>0.22</v>
      </c>
      <c r="S103" s="7" t="str">
        <f>IF(R103="","ni opravljal izpita",IF(R103&lt;$U$3,"negativno",LOOKUP(R103,$U$3:$U$7,$V$3:$V$7)))</f>
        <v>negativno</v>
      </c>
    </row>
    <row r="104" spans="1:19" x14ac:dyDescent="0.25">
      <c r="A104" s="5">
        <v>27101505</v>
      </c>
      <c r="B104" s="5" t="s">
        <v>7</v>
      </c>
      <c r="C104" s="5" t="s">
        <v>1</v>
      </c>
      <c r="D104" s="3">
        <v>0</v>
      </c>
      <c r="E104" s="3"/>
      <c r="F104" s="3">
        <v>0</v>
      </c>
      <c r="G104" s="3">
        <v>1</v>
      </c>
      <c r="H104" s="3">
        <v>2</v>
      </c>
      <c r="I104" s="3"/>
      <c r="J104" s="3"/>
      <c r="K104" s="3"/>
      <c r="L104" s="3">
        <v>1</v>
      </c>
      <c r="M104" s="3">
        <v>2</v>
      </c>
      <c r="N104" s="3">
        <v>10</v>
      </c>
      <c r="O104" s="3">
        <v>22</v>
      </c>
      <c r="P104" s="7">
        <f>IF(COUNTBLANK(D104:M104)=10,"",SUM(D104:M104))</f>
        <v>6</v>
      </c>
      <c r="Q104" s="7">
        <f>IF(COUNTBLANK(D104:O104)=12,"",MAX(N104+P104,O104+0.5*P104))</f>
        <v>25</v>
      </c>
      <c r="R104" s="8">
        <f>IF(COUNTBLANK(N104:O104)=2,"",IF(AND(SUM(N104:O104)=0,P104&lt;0),0,Q104/100))</f>
        <v>0.25</v>
      </c>
      <c r="S104" s="7" t="str">
        <f>IF(R104="","ni opravljal izpita",IF(R104&lt;$U$3,"negativno",LOOKUP(R104,$U$3:$U$7,$V$3:$V$7)))</f>
        <v>negativno</v>
      </c>
    </row>
    <row r="105" spans="1:19" x14ac:dyDescent="0.25">
      <c r="A105" s="5">
        <v>27101983</v>
      </c>
      <c r="B105" s="5" t="s">
        <v>7</v>
      </c>
      <c r="C105" s="5" t="s">
        <v>1</v>
      </c>
      <c r="D105" s="3">
        <v>2</v>
      </c>
      <c r="E105" s="3">
        <v>1</v>
      </c>
      <c r="F105" s="3">
        <v>1</v>
      </c>
      <c r="G105" s="3">
        <v>0</v>
      </c>
      <c r="H105" s="3">
        <v>2</v>
      </c>
      <c r="I105" s="3">
        <v>0</v>
      </c>
      <c r="J105" s="3"/>
      <c r="K105" s="3">
        <v>1</v>
      </c>
      <c r="L105" s="3">
        <v>1</v>
      </c>
      <c r="M105" s="3"/>
      <c r="N105" s="3">
        <v>62</v>
      </c>
      <c r="O105" s="3"/>
      <c r="P105" s="7">
        <f>IF(COUNTBLANK(D105:M105)=10,"",SUM(D105:M105))</f>
        <v>8</v>
      </c>
      <c r="Q105" s="7">
        <f>IF(COUNTBLANK(D105:O105)=12,"",MAX(N105+P105,O105+0.5*P105))</f>
        <v>70</v>
      </c>
      <c r="R105" s="8">
        <f>IF(COUNTBLANK(N105:O105)=2,"",IF(AND(SUM(N105:O105)=0,P105&lt;0),0,Q105/100))</f>
        <v>0.7</v>
      </c>
      <c r="S105" s="7">
        <f>IF(R105="","ni opravljal izpita",IF(R105&lt;$U$3,"negativno",LOOKUP(R105,$U$3:$U$7,$V$3:$V$7)))</f>
        <v>8</v>
      </c>
    </row>
    <row r="106" spans="1:19" x14ac:dyDescent="0.25">
      <c r="A106" s="5">
        <v>27003050</v>
      </c>
      <c r="B106" s="5" t="s">
        <v>72</v>
      </c>
      <c r="C106" s="5" t="s">
        <v>61</v>
      </c>
      <c r="D106" s="3">
        <v>0</v>
      </c>
      <c r="E106" s="3">
        <v>0</v>
      </c>
      <c r="F106" s="3">
        <v>1</v>
      </c>
      <c r="G106" s="3">
        <v>0</v>
      </c>
      <c r="H106" s="3">
        <v>2</v>
      </c>
      <c r="I106" s="3"/>
      <c r="J106" s="3">
        <v>0</v>
      </c>
      <c r="K106" s="3">
        <v>1</v>
      </c>
      <c r="L106" s="3">
        <v>1</v>
      </c>
      <c r="M106" s="3">
        <v>2</v>
      </c>
      <c r="N106" s="3">
        <v>11</v>
      </c>
      <c r="O106" s="3">
        <v>26</v>
      </c>
      <c r="P106" s="7">
        <f>IF(COUNTBLANK(D106:M106)=10,"",SUM(D106:M106))</f>
        <v>7</v>
      </c>
      <c r="Q106" s="7">
        <f>IF(COUNTBLANK(D106:O106)=12,"",MAX(N106+P106,O106+0.5*P106))</f>
        <v>29.5</v>
      </c>
      <c r="R106" s="8">
        <f>IF(COUNTBLANK(N106:O106)=2,"",IF(AND(SUM(N106:O106)=0,P106&lt;0),0,Q106/100))</f>
        <v>0.29499999999999998</v>
      </c>
      <c r="S106" s="7" t="str">
        <f>IF(R106="","ni opravljal izpita",IF(R106&lt;$U$3,"negativno",LOOKUP(R106,$U$3:$U$7,$V$3:$V$7)))</f>
        <v>negativno</v>
      </c>
    </row>
    <row r="107" spans="1:19" x14ac:dyDescent="0.25">
      <c r="A107" s="5">
        <v>27013659</v>
      </c>
      <c r="B107" s="5" t="s">
        <v>68</v>
      </c>
      <c r="C107" s="5" t="s">
        <v>61</v>
      </c>
      <c r="D107" s="3">
        <v>2</v>
      </c>
      <c r="E107" s="3">
        <v>2</v>
      </c>
      <c r="F107" s="3">
        <v>1</v>
      </c>
      <c r="G107" s="3">
        <v>2</v>
      </c>
      <c r="H107" s="3">
        <v>2</v>
      </c>
      <c r="I107" s="3"/>
      <c r="J107" s="3"/>
      <c r="K107" s="3">
        <v>2</v>
      </c>
      <c r="L107" s="3">
        <v>2</v>
      </c>
      <c r="M107" s="3">
        <v>2</v>
      </c>
      <c r="N107" s="3">
        <v>48</v>
      </c>
      <c r="O107" s="3">
        <v>55</v>
      </c>
      <c r="P107" s="7">
        <f>IF(COUNTBLANK(D107:M107)=10,"",SUM(D107:M107))</f>
        <v>15</v>
      </c>
      <c r="Q107" s="7">
        <f>IF(COUNTBLANK(D107:O107)=12,"",MAX(N107+P107,O107+0.5*P107))</f>
        <v>63</v>
      </c>
      <c r="R107" s="8">
        <f>IF(COUNTBLANK(N107:O107)=2,"",IF(AND(SUM(N107:O107)=0,P107&lt;0),0,Q107/100))</f>
        <v>0.63</v>
      </c>
      <c r="S107" s="7">
        <f>IF(R107="","ni opravljal izpita",IF(R107&lt;$U$3,"negativno",LOOKUP(R107,$U$3:$U$7,$V$3:$V$7)))</f>
        <v>7</v>
      </c>
    </row>
    <row r="108" spans="1:19" x14ac:dyDescent="0.25">
      <c r="A108" s="5">
        <v>27015427</v>
      </c>
      <c r="B108" s="5" t="s">
        <v>42</v>
      </c>
      <c r="C108" s="5" t="s">
        <v>61</v>
      </c>
      <c r="D108" s="3">
        <v>2</v>
      </c>
      <c r="E108" s="3">
        <v>2</v>
      </c>
      <c r="F108" s="3">
        <v>1</v>
      </c>
      <c r="G108" s="3">
        <v>1</v>
      </c>
      <c r="H108" s="3">
        <v>2</v>
      </c>
      <c r="I108" s="3">
        <v>0</v>
      </c>
      <c r="J108" s="3">
        <v>2</v>
      </c>
      <c r="K108" s="3">
        <v>1</v>
      </c>
      <c r="L108" s="3">
        <v>2</v>
      </c>
      <c r="M108" s="3">
        <v>2</v>
      </c>
      <c r="N108" s="3">
        <v>47</v>
      </c>
      <c r="O108" s="3">
        <v>64</v>
      </c>
      <c r="P108" s="7">
        <f>IF(COUNTBLANK(D108:M108)=10,"",SUM(D108:M108))</f>
        <v>15</v>
      </c>
      <c r="Q108" s="7">
        <f>IF(COUNTBLANK(D108:O108)=12,"",MAX(N108+P108,O108+0.5*P108))</f>
        <v>71.5</v>
      </c>
      <c r="R108" s="8">
        <f>IF(COUNTBLANK(N108:O108)=2,"",IF(AND(SUM(N108:O108)=0,P108&lt;0),0,Q108/100))</f>
        <v>0.71499999999999997</v>
      </c>
      <c r="S108" s="7">
        <f>IF(R108="","ni opravljal izpita",IF(R108&lt;$U$3,"negativno",LOOKUP(R108,$U$3:$U$7,$V$3:$V$7)))</f>
        <v>8</v>
      </c>
    </row>
    <row r="109" spans="1:19" x14ac:dyDescent="0.25">
      <c r="A109" s="12">
        <v>27038412.75</v>
      </c>
      <c r="B109" s="5" t="s">
        <v>42</v>
      </c>
      <c r="C109" s="5" t="s">
        <v>61</v>
      </c>
      <c r="D109" s="3">
        <v>0</v>
      </c>
      <c r="E109" s="3">
        <v>1</v>
      </c>
      <c r="F109" s="3">
        <v>1</v>
      </c>
      <c r="G109" s="3">
        <v>0</v>
      </c>
      <c r="H109" s="3">
        <v>2</v>
      </c>
      <c r="I109" s="3">
        <v>0</v>
      </c>
      <c r="J109" s="3"/>
      <c r="K109" s="3">
        <v>1</v>
      </c>
      <c r="L109" s="3">
        <v>1</v>
      </c>
      <c r="M109" s="3">
        <v>1</v>
      </c>
      <c r="N109" s="3">
        <v>52</v>
      </c>
      <c r="O109" s="3"/>
      <c r="P109" s="7">
        <f>IF(COUNTBLANK(D109:M109)=10,"",SUM(D109:M109))</f>
        <v>7</v>
      </c>
      <c r="Q109" s="7">
        <f>IF(COUNTBLANK(D109:O109)=12,"",MAX(N109+P109,O109+0.5*P109))</f>
        <v>59</v>
      </c>
      <c r="R109" s="8">
        <f>IF(COUNTBLANK(N109:O109)=2,"",IF(AND(SUM(N109:O109)=0,P109&lt;0),0,Q109/100))</f>
        <v>0.59</v>
      </c>
      <c r="S109" s="7">
        <f>IF(R109="","ni opravljal izpita",IF(R109&lt;$U$3,"negativno",LOOKUP(R109,$U$3:$U$7,$V$3:$V$7)))</f>
        <v>6</v>
      </c>
    </row>
    <row r="110" spans="1:19" x14ac:dyDescent="0.25">
      <c r="A110" s="12">
        <v>27052557.59</v>
      </c>
      <c r="B110" s="5" t="s">
        <v>42</v>
      </c>
      <c r="C110" s="5" t="s">
        <v>1</v>
      </c>
      <c r="D110" s="3">
        <v>2</v>
      </c>
      <c r="E110" s="3">
        <v>2</v>
      </c>
      <c r="F110" s="3">
        <v>1</v>
      </c>
      <c r="G110" s="3">
        <v>0</v>
      </c>
      <c r="H110" s="3">
        <v>2</v>
      </c>
      <c r="I110" s="3">
        <v>1</v>
      </c>
      <c r="J110" s="3">
        <v>0</v>
      </c>
      <c r="K110" s="3">
        <v>2</v>
      </c>
      <c r="L110" s="3">
        <v>1</v>
      </c>
      <c r="M110" s="3">
        <v>2</v>
      </c>
      <c r="N110" s="3"/>
      <c r="O110" s="3">
        <v>65</v>
      </c>
      <c r="P110" s="7">
        <f>IF(COUNTBLANK(D110:M110)=10,"",SUM(D110:M110))</f>
        <v>13</v>
      </c>
      <c r="Q110" s="7">
        <f>IF(COUNTBLANK(D110:O110)=12,"",MAX(N110+P110,O110+0.5*P110))</f>
        <v>71.5</v>
      </c>
      <c r="R110" s="8">
        <f>IF(COUNTBLANK(N110:O110)=2,"",IF(AND(SUM(N110:O110)=0,P110&lt;0),0,Q110/100))</f>
        <v>0.71499999999999997</v>
      </c>
      <c r="S110" s="7">
        <f>IF(R110="","ni opravljal izpita",IF(R110&lt;$U$3,"negativno",LOOKUP(R110,$U$3:$U$7,$V$3:$V$7)))</f>
        <v>8</v>
      </c>
    </row>
    <row r="111" spans="1:19" x14ac:dyDescent="0.25">
      <c r="A111" s="5">
        <v>27091315</v>
      </c>
      <c r="B111" s="5" t="s">
        <v>42</v>
      </c>
      <c r="C111" s="5" t="s">
        <v>1</v>
      </c>
      <c r="D111" s="3">
        <v>1</v>
      </c>
      <c r="E111" s="3">
        <v>1</v>
      </c>
      <c r="F111" s="3">
        <v>1</v>
      </c>
      <c r="G111" s="3">
        <v>0</v>
      </c>
      <c r="H111" s="3">
        <v>0</v>
      </c>
      <c r="I111" s="3"/>
      <c r="J111" s="3"/>
      <c r="K111" s="3">
        <v>0</v>
      </c>
      <c r="L111" s="3"/>
      <c r="M111" s="3">
        <v>0</v>
      </c>
      <c r="N111" s="3">
        <v>40</v>
      </c>
      <c r="O111" s="3">
        <v>53</v>
      </c>
      <c r="P111" s="7">
        <f>IF(COUNTBLANK(D111:M111)=10,"",SUM(D111:M111))</f>
        <v>3</v>
      </c>
      <c r="Q111" s="7">
        <f>IF(COUNTBLANK(D111:O111)=12,"",MAX(N111+P111,O111+0.5*P111))</f>
        <v>54.5</v>
      </c>
      <c r="R111" s="8">
        <f>IF(COUNTBLANK(N111:O111)=2,"",IF(AND(SUM(N111:O111)=0,P111&lt;0),0,Q111/100))</f>
        <v>0.54500000000000004</v>
      </c>
      <c r="S111" s="7">
        <f>IF(R111="","ni opravljal izpita",IF(R111&lt;$U$3,"negativno",LOOKUP(R111,$U$3:$U$7,$V$3:$V$7)))</f>
        <v>6</v>
      </c>
    </row>
    <row r="112" spans="1:19" x14ac:dyDescent="0.25">
      <c r="A112" s="5">
        <v>27101339</v>
      </c>
      <c r="B112" s="5" t="s">
        <v>42</v>
      </c>
      <c r="C112" s="5" t="s">
        <v>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7" t="str">
        <f>IF(COUNTBLANK(D112:M112)=10,"",SUM(D112:M112))</f>
        <v/>
      </c>
      <c r="Q112" s="7" t="str">
        <f>IF(COUNTBLANK(D112:O112)=12,"",MAX(N112+P112,O112+0.5*P112))</f>
        <v/>
      </c>
      <c r="R112" s="8" t="str">
        <f>IF(COUNTBLANK(N112:O112)=2,"",IF(AND(SUM(N112:O112)=0,P112&lt;0),0,Q112/100))</f>
        <v/>
      </c>
      <c r="S112" s="7" t="str">
        <f>IF(R112="","ni opravljal izpita",IF(R112&lt;$U$3,"negativno",LOOKUP(R112,$U$3:$U$7,$V$3:$V$7)))</f>
        <v>ni opravljal izpita</v>
      </c>
    </row>
    <row r="113" spans="1:19" x14ac:dyDescent="0.25">
      <c r="A113" s="5">
        <v>27101376</v>
      </c>
      <c r="B113" s="5" t="s">
        <v>39</v>
      </c>
      <c r="C113" s="5" t="s">
        <v>1</v>
      </c>
      <c r="D113" s="3">
        <v>1</v>
      </c>
      <c r="E113" s="3">
        <v>1</v>
      </c>
      <c r="F113" s="3">
        <v>1</v>
      </c>
      <c r="G113" s="3">
        <v>0</v>
      </c>
      <c r="H113" s="3">
        <v>0</v>
      </c>
      <c r="I113" s="3">
        <v>1</v>
      </c>
      <c r="J113" s="3"/>
      <c r="K113" s="3">
        <v>0</v>
      </c>
      <c r="L113" s="3">
        <v>1</v>
      </c>
      <c r="M113" s="3">
        <v>0</v>
      </c>
      <c r="N113" s="3">
        <v>0</v>
      </c>
      <c r="O113" s="3">
        <v>35</v>
      </c>
      <c r="P113" s="7">
        <f>IF(COUNTBLANK(D113:M113)=10,"",SUM(D113:M113))</f>
        <v>5</v>
      </c>
      <c r="Q113" s="7">
        <f>IF(COUNTBLANK(D113:O113)=12,"",MAX(N113+P113,O113+0.5*P113))</f>
        <v>37.5</v>
      </c>
      <c r="R113" s="8">
        <f>IF(COUNTBLANK(N113:O113)=2,"",IF(AND(SUM(N113:O113)=0,P113&lt;0),0,Q113/100))</f>
        <v>0.375</v>
      </c>
      <c r="S113" s="7" t="str">
        <f>IF(R113="","ni opravljal izpita",IF(R113&lt;$U$3,"negativno",LOOKUP(R113,$U$3:$U$7,$V$3:$V$7)))</f>
        <v>negativno</v>
      </c>
    </row>
    <row r="114" spans="1:19" x14ac:dyDescent="0.25">
      <c r="A114" s="12">
        <v>27008300</v>
      </c>
      <c r="B114" s="5" t="s">
        <v>70</v>
      </c>
      <c r="C114" s="5" t="s">
        <v>61</v>
      </c>
      <c r="D114" s="3">
        <v>2</v>
      </c>
      <c r="E114" s="3">
        <v>2</v>
      </c>
      <c r="F114" s="3">
        <v>2</v>
      </c>
      <c r="G114" s="3">
        <v>1</v>
      </c>
      <c r="H114" s="3">
        <v>1</v>
      </c>
      <c r="I114" s="3">
        <v>0</v>
      </c>
      <c r="J114" s="3">
        <v>1</v>
      </c>
      <c r="K114" s="3">
        <v>2</v>
      </c>
      <c r="L114" s="3">
        <v>2</v>
      </c>
      <c r="M114" s="3">
        <v>2</v>
      </c>
      <c r="N114" s="3">
        <v>54</v>
      </c>
      <c r="O114" s="3">
        <v>65</v>
      </c>
      <c r="P114" s="7">
        <f>IF(COUNTBLANK(D114:M114)=10,"",SUM(D114:M114))</f>
        <v>15</v>
      </c>
      <c r="Q114" s="7">
        <f>IF(COUNTBLANK(D114:O114)=12,"",MAX(N114+P114,O114+0.5*P114))</f>
        <v>72.5</v>
      </c>
      <c r="R114" s="8">
        <f>IF(COUNTBLANK(N114:O114)=2,"",IF(AND(SUM(N114:O114)=0,P114&lt;0),0,Q114/100))</f>
        <v>0.72499999999999998</v>
      </c>
      <c r="S114" s="7">
        <f>IF(R114="","ni opravljal izpita",IF(R114&lt;$U$3,"negativno",LOOKUP(R114,$U$3:$U$7,$V$3:$V$7)))</f>
        <v>8</v>
      </c>
    </row>
    <row r="115" spans="1:19" x14ac:dyDescent="0.25">
      <c r="A115" s="5">
        <v>27101315</v>
      </c>
      <c r="B115" s="5" t="s">
        <v>43</v>
      </c>
      <c r="C115" s="5" t="s">
        <v>1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7" t="str">
        <f>IF(COUNTBLANK(D115:M115)=10,"",SUM(D115:M115))</f>
        <v/>
      </c>
      <c r="Q115" s="7" t="str">
        <f>IF(COUNTBLANK(D115:O115)=12,"",MAX(N115+P115,O115+0.5*P115))</f>
        <v/>
      </c>
      <c r="R115" s="8" t="str">
        <f>IF(COUNTBLANK(N115:O115)=2,"",IF(AND(SUM(N115:O115)=0,P115&lt;0),0,Q115/100))</f>
        <v/>
      </c>
      <c r="S115" s="7" t="str">
        <f>IF(R115="","ni opravljal izpita",IF(R115&lt;$U$3,"negativno",LOOKUP(R115,$U$3:$U$7,$V$3:$V$7)))</f>
        <v>ni opravljal izpita</v>
      </c>
    </row>
    <row r="116" spans="1:19" x14ac:dyDescent="0.25">
      <c r="A116" s="12">
        <v>27045485.170000002</v>
      </c>
      <c r="B116" s="5" t="s">
        <v>59</v>
      </c>
      <c r="C116" s="5" t="s">
        <v>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7" t="str">
        <f>IF(COUNTBLANK(D116:M116)=10,"",SUM(D116:M116))</f>
        <v/>
      </c>
      <c r="Q116" s="7" t="str">
        <f>IF(COUNTBLANK(D116:O116)=12,"",MAX(N116+P116,O116+0.5*P116))</f>
        <v/>
      </c>
      <c r="R116" s="8" t="str">
        <f>IF(COUNTBLANK(N116:O116)=2,"",IF(AND(SUM(N116:O116)=0,P116&lt;0),0,Q116/100))</f>
        <v/>
      </c>
      <c r="S116" s="7" t="str">
        <f>IF(R116="","ni opravljal izpita",IF(R116&lt;$U$3,"negativno",LOOKUP(R116,$U$3:$U$7,$V$3:$V$7)))</f>
        <v>ni opravljal izpita</v>
      </c>
    </row>
    <row r="117" spans="1:19" x14ac:dyDescent="0.25">
      <c r="A117" s="5">
        <v>26983601</v>
      </c>
      <c r="B117" s="5" t="s">
        <v>78</v>
      </c>
      <c r="C117" s="5" t="s">
        <v>1</v>
      </c>
      <c r="D117" s="3">
        <v>2</v>
      </c>
      <c r="E117" s="3">
        <v>2</v>
      </c>
      <c r="F117" s="3">
        <v>2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100</v>
      </c>
      <c r="O117" s="3"/>
      <c r="P117" s="7">
        <f>IF(COUNTBLANK(D117:M117)=10,"",SUM(D117:M117))</f>
        <v>20</v>
      </c>
      <c r="Q117" s="7">
        <f>IF(COUNTBLANK(D117:O117)=12,"",MAX(N117+P117,O117+0.5*P117))</f>
        <v>120</v>
      </c>
      <c r="R117" s="8">
        <f>IF(COUNTBLANK(N117:O117)=2,"",IF(AND(SUM(N117:O117)=0,P117&lt;0),0,Q117/100))</f>
        <v>1.2</v>
      </c>
      <c r="S117" s="7">
        <f>IF(R117="","ni opravljal izpita",IF(R117&lt;$U$3,"negativno",LOOKUP(R117,$U$3:$U$7,$V$3:$V$7)))</f>
        <v>10</v>
      </c>
    </row>
    <row r="118" spans="1:19" hidden="1" x14ac:dyDescent="0.25"/>
    <row r="119" spans="1:19" x14ac:dyDescent="0.25">
      <c r="C119" s="4" t="s">
        <v>113</v>
      </c>
      <c r="D119" s="5">
        <f t="shared" ref="D119:S119" si="8">AVERAGE(D3:D117)</f>
        <v>1.4130434782608696</v>
      </c>
      <c r="E119" s="5">
        <f t="shared" si="8"/>
        <v>1.2558139534883721</v>
      </c>
      <c r="F119" s="5">
        <f t="shared" si="8"/>
        <v>1.3764705882352941</v>
      </c>
      <c r="G119" s="5">
        <f t="shared" si="8"/>
        <v>1.0117647058823529</v>
      </c>
      <c r="H119" s="5">
        <f t="shared" si="8"/>
        <v>1.7560975609756098</v>
      </c>
      <c r="I119" s="5">
        <f t="shared" si="8"/>
        <v>0.5357142857142857</v>
      </c>
      <c r="J119" s="5">
        <f t="shared" si="8"/>
        <v>0.97727272727272729</v>
      </c>
      <c r="K119" s="5">
        <f t="shared" si="8"/>
        <v>1.180327868852459</v>
      </c>
      <c r="L119" s="5">
        <f t="shared" si="8"/>
        <v>1.5074626865671641</v>
      </c>
      <c r="M119" s="5">
        <f t="shared" si="8"/>
        <v>1.5625</v>
      </c>
      <c r="N119" s="5">
        <f t="shared" si="8"/>
        <v>38.392405063291136</v>
      </c>
      <c r="O119" s="5">
        <f t="shared" si="8"/>
        <v>41.53846153846154</v>
      </c>
      <c r="P119" s="5">
        <f t="shared" si="8"/>
        <v>9.5979381443298966</v>
      </c>
      <c r="Q119" s="5">
        <f t="shared" si="8"/>
        <v>43.005050505050505</v>
      </c>
      <c r="R119" s="11">
        <f t="shared" si="8"/>
        <v>0.51401234567901255</v>
      </c>
      <c r="S119" s="5">
        <f t="shared" si="8"/>
        <v>7.4130434782608692</v>
      </c>
    </row>
  </sheetData>
  <autoFilter ref="A2:S117" xr:uid="{0FD20438-DC93-46E5-8F6A-D0B8C2C3F17B}">
    <sortState xmlns:xlrd2="http://schemas.microsoft.com/office/spreadsheetml/2017/richdata2" ref="A3:S117">
      <sortCondition ref="B2:B117"/>
    </sortState>
  </autoFilter>
  <mergeCells count="11">
    <mergeCell ref="W23:AC23"/>
    <mergeCell ref="D1:M1"/>
    <mergeCell ref="A1:C1"/>
    <mergeCell ref="N1:O1"/>
    <mergeCell ref="P1:S1"/>
    <mergeCell ref="U1:V1"/>
    <mergeCell ref="X4:Y4"/>
    <mergeCell ref="X5:Y5"/>
    <mergeCell ref="X6:Y6"/>
    <mergeCell ref="X7:Y7"/>
    <mergeCell ref="X8:Y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B360-0DC3-416E-A4FA-B0408CF64EF4}">
  <dimension ref="B2:C10"/>
  <sheetViews>
    <sheetView workbookViewId="0">
      <selection activeCell="B2" sqref="B2:C10"/>
    </sheetView>
  </sheetViews>
  <sheetFormatPr defaultRowHeight="15" x14ac:dyDescent="0.25"/>
  <cols>
    <col min="2" max="2" width="10.85546875" bestFit="1" customWidth="1"/>
    <col min="3" max="3" width="11.85546875" bestFit="1" customWidth="1"/>
  </cols>
  <sheetData>
    <row r="2" spans="2:3" x14ac:dyDescent="0.25">
      <c r="B2" s="10" t="s">
        <v>108</v>
      </c>
      <c r="C2" s="10" t="s">
        <v>109</v>
      </c>
    </row>
    <row r="3" spans="2:3" x14ac:dyDescent="0.25">
      <c r="B3" s="5" t="s">
        <v>110</v>
      </c>
      <c r="C3" s="3">
        <f>COUNTIF(Podatki!$S$3:$S$117,B3)</f>
        <v>35</v>
      </c>
    </row>
    <row r="4" spans="2:3" x14ac:dyDescent="0.25">
      <c r="B4" s="5">
        <v>6</v>
      </c>
      <c r="C4" s="3">
        <f>COUNTIF(Podatki!$S$3:$S$117,B4)</f>
        <v>13</v>
      </c>
    </row>
    <row r="5" spans="2:3" x14ac:dyDescent="0.25">
      <c r="B5" s="5">
        <v>7</v>
      </c>
      <c r="C5" s="3">
        <f>COUNTIF(Podatki!$S$3:$S$117,B5)</f>
        <v>15</v>
      </c>
    </row>
    <row r="6" spans="2:3" x14ac:dyDescent="0.25">
      <c r="B6" s="5">
        <v>8</v>
      </c>
      <c r="C6" s="3">
        <f>COUNTIF(Podatki!$S$3:$S$117,B6)</f>
        <v>8</v>
      </c>
    </row>
    <row r="7" spans="2:3" x14ac:dyDescent="0.25">
      <c r="B7" s="5">
        <v>9</v>
      </c>
      <c r="C7" s="3">
        <f>COUNTIF(Podatki!$S$3:$S$117,B7)</f>
        <v>6</v>
      </c>
    </row>
    <row r="8" spans="2:3" x14ac:dyDescent="0.25">
      <c r="B8" s="5">
        <v>10</v>
      </c>
      <c r="C8" s="3">
        <f>COUNTIF(Podatki!$S$3:$S$117,B8)</f>
        <v>4</v>
      </c>
    </row>
    <row r="9" spans="2:3" x14ac:dyDescent="0.25">
      <c r="B9" s="5" t="s">
        <v>111</v>
      </c>
      <c r="C9" s="3">
        <f>COUNTIF(Podatki!$S$3:$S$117,B9)</f>
        <v>34</v>
      </c>
    </row>
    <row r="10" spans="2:3" x14ac:dyDescent="0.25">
      <c r="B10" s="10" t="s">
        <v>103</v>
      </c>
      <c r="C10" s="5">
        <f>SUM(C3:C9)</f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87F7A-9957-48B9-9739-41DA4DFAB0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2</vt:i4>
      </vt:variant>
      <vt:variant>
        <vt:lpstr>Grafikoni</vt:lpstr>
      </vt:variant>
      <vt:variant>
        <vt:i4>5</vt:i4>
      </vt:variant>
    </vt:vector>
  </HeadingPairs>
  <TitlesOfParts>
    <vt:vector size="7" baseType="lpstr">
      <vt:lpstr>Podatki</vt:lpstr>
      <vt:lpstr>Analiza končnih ocen</vt:lpstr>
      <vt:lpstr>Povprečje domačnih nalog</vt:lpstr>
      <vt:lpstr>Povprečje izpitov</vt:lpstr>
      <vt:lpstr>Končna ocena</vt:lpstr>
      <vt:lpstr>Kvartili</vt:lpstr>
      <vt:lpstr>Število pridobljenih ocen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Kastelic</dc:creator>
  <cp:lastModifiedBy>Kastelic, Jan</cp:lastModifiedBy>
  <dcterms:created xsi:type="dcterms:W3CDTF">2023-04-10T14:52:56Z</dcterms:created>
  <dcterms:modified xsi:type="dcterms:W3CDTF">2024-03-29T07:18:32Z</dcterms:modified>
</cp:coreProperties>
</file>