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ka\Desktop\Ucebnica 23\"/>
    </mc:Choice>
  </mc:AlternateContent>
  <bookViews>
    <workbookView xWindow="0" yWindow="0" windowWidth="19200" windowHeight="8100" firstSheet="21" activeTab="24"/>
  </bookViews>
  <sheets>
    <sheet name="základné pravdepodobnosti 2021" sheetId="1" r:id="rId1"/>
    <sheet name="TUM" sheetId="7" r:id="rId2"/>
    <sheet name="TUM x=25" sheetId="16" r:id="rId3"/>
    <sheet name="TUM posun UT o 5 rokov" sheetId="12" r:id="rId4"/>
    <sheet name="Smith-Wilson" sheetId="10" r:id="rId5"/>
    <sheet name="Smith-Wilson posun x=25 rokov" sheetId="17" r:id="rId6"/>
    <sheet name="Smith-Wilson posun o 5 rokov" sheetId="13" r:id="rId7"/>
    <sheet name="All bonds" sheetId="8" r:id="rId8"/>
    <sheet name="All bonds x=25" sheetId="18" r:id="rId9"/>
    <sheet name="All bonds posun o 5 rokov" sheetId="14" r:id="rId10"/>
    <sheet name="AAA rated" sheetId="9" r:id="rId11"/>
    <sheet name="AAA rated x=25" sheetId="19" r:id="rId12"/>
    <sheet name="AAA rated posun o 5 rokov" sheetId="15" r:id="rId13"/>
    <sheet name="porovnanie" sheetId="11" r:id="rId14"/>
    <sheet name="porovnanie x=25" sheetId="20" r:id="rId15"/>
    <sheet name=" testovanie i= 0.5" sheetId="21" r:id="rId16"/>
    <sheet name=" testovanie Sven All Bonds" sheetId="22" r:id="rId17"/>
    <sheet name=" testovanie Sven AAA rated" sheetId="23" r:id="rId18"/>
    <sheet name=" testovanie Smith-Wilson" sheetId="24" r:id="rId19"/>
    <sheet name="citlivosť TUM" sheetId="25" r:id="rId20"/>
    <sheet name=" testovanie i= 0.5 E" sheetId="26" r:id="rId21"/>
    <sheet name=" testovanie Sven AAA rated E" sheetId="27" r:id="rId22"/>
    <sheet name=" testovanie Smith-Wilson E" sheetId="28" r:id="rId23"/>
    <sheet name=" testovanie Sven All Bonds E" sheetId="29" r:id="rId24"/>
    <sheet name="TUM pohrebne" sheetId="30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0" l="1"/>
  <c r="F48" i="8" l="1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46" i="8"/>
  <c r="E47" i="8"/>
  <c r="F47" i="8"/>
  <c r="F46" i="8"/>
  <c r="E45" i="8"/>
  <c r="F45" i="8" s="1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45" i="9"/>
  <c r="E46" i="9"/>
  <c r="E47" i="9"/>
  <c r="E48" i="9"/>
  <c r="C19" i="30"/>
  <c r="C17" i="30"/>
  <c r="C4" i="30"/>
  <c r="E5" i="8" l="1"/>
  <c r="U51" i="26" l="1"/>
  <c r="U12" i="26"/>
  <c r="E22" i="8"/>
  <c r="E21" i="8"/>
  <c r="E16" i="8"/>
  <c r="K2" i="15"/>
  <c r="J2" i="15"/>
  <c r="I2" i="15"/>
  <c r="H2" i="15"/>
  <c r="K2" i="19"/>
  <c r="J2" i="19"/>
  <c r="I2" i="19"/>
  <c r="H2" i="19"/>
  <c r="G2" i="9"/>
  <c r="E5" i="9" s="1"/>
  <c r="K2" i="9"/>
  <c r="J2" i="9"/>
  <c r="I2" i="9"/>
  <c r="H2" i="9"/>
  <c r="C42" i="7"/>
  <c r="C25" i="7"/>
  <c r="C15" i="7"/>
  <c r="C6" i="7"/>
  <c r="C5" i="7"/>
  <c r="C5" i="30" l="1"/>
  <c r="C6" i="30"/>
  <c r="D6" i="30" s="1"/>
  <c r="C7" i="30"/>
  <c r="C8" i="30"/>
  <c r="C9" i="30"/>
  <c r="D9" i="30" s="1"/>
  <c r="C10" i="30"/>
  <c r="D10" i="30" s="1"/>
  <c r="C11" i="30"/>
  <c r="C12" i="30"/>
  <c r="C13" i="30"/>
  <c r="D13" i="30" s="1"/>
  <c r="C14" i="30"/>
  <c r="D14" i="30" s="1"/>
  <c r="C15" i="30"/>
  <c r="C16" i="30"/>
  <c r="D16" i="30" s="1"/>
  <c r="D17" i="30"/>
  <c r="C18" i="30"/>
  <c r="D18" i="30" s="1"/>
  <c r="C20" i="30"/>
  <c r="D20" i="30" s="1"/>
  <c r="C21" i="30"/>
  <c r="C22" i="30"/>
  <c r="D22" i="30" s="1"/>
  <c r="C23" i="30"/>
  <c r="C24" i="30"/>
  <c r="C25" i="30"/>
  <c r="D25" i="30" s="1"/>
  <c r="C26" i="30"/>
  <c r="D26" i="30" s="1"/>
  <c r="C27" i="30"/>
  <c r="C28" i="30"/>
  <c r="C29" i="30"/>
  <c r="D29" i="30" s="1"/>
  <c r="C30" i="30"/>
  <c r="D30" i="30" s="1"/>
  <c r="C31" i="30"/>
  <c r="C32" i="30"/>
  <c r="D32" i="30" s="1"/>
  <c r="C33" i="30"/>
  <c r="D33" i="30" s="1"/>
  <c r="C34" i="30"/>
  <c r="D34" i="30" s="1"/>
  <c r="C35" i="30"/>
  <c r="C36" i="30"/>
  <c r="D36" i="30" s="1"/>
  <c r="C37" i="30"/>
  <c r="C38" i="30"/>
  <c r="D38" i="30" s="1"/>
  <c r="C39" i="30"/>
  <c r="D4" i="30"/>
  <c r="E39" i="30"/>
  <c r="D39" i="30"/>
  <c r="E38" i="30"/>
  <c r="E37" i="30"/>
  <c r="D37" i="30"/>
  <c r="E36" i="30"/>
  <c r="E35" i="30"/>
  <c r="D35" i="30"/>
  <c r="E34" i="30"/>
  <c r="E33" i="30"/>
  <c r="E32" i="30"/>
  <c r="E31" i="30"/>
  <c r="D31" i="30"/>
  <c r="E30" i="30"/>
  <c r="E29" i="30"/>
  <c r="E28" i="30"/>
  <c r="D28" i="30"/>
  <c r="E27" i="30"/>
  <c r="D27" i="30"/>
  <c r="E26" i="30"/>
  <c r="E25" i="30"/>
  <c r="E24" i="30"/>
  <c r="D24" i="30"/>
  <c r="E23" i="30"/>
  <c r="D23" i="30"/>
  <c r="E22" i="30"/>
  <c r="E21" i="30"/>
  <c r="D21" i="30"/>
  <c r="E20" i="30"/>
  <c r="E19" i="30"/>
  <c r="D19" i="30"/>
  <c r="E18" i="30"/>
  <c r="E17" i="30"/>
  <c r="E16" i="30"/>
  <c r="E15" i="30"/>
  <c r="D15" i="30"/>
  <c r="E14" i="30"/>
  <c r="E13" i="30"/>
  <c r="E12" i="30"/>
  <c r="D12" i="30"/>
  <c r="E11" i="30"/>
  <c r="D11" i="30"/>
  <c r="E10" i="30"/>
  <c r="E9" i="30"/>
  <c r="E8" i="30"/>
  <c r="D8" i="30"/>
  <c r="E7" i="30"/>
  <c r="D7" i="30"/>
  <c r="E6" i="30"/>
  <c r="E5" i="30"/>
  <c r="D5" i="30"/>
  <c r="I4" i="30"/>
  <c r="E4" i="30"/>
  <c r="F5" i="30" l="1"/>
  <c r="F39" i="30"/>
  <c r="L5" i="30"/>
  <c r="F4" i="30"/>
  <c r="G4" i="30"/>
  <c r="I7" i="30"/>
  <c r="I12" i="30"/>
  <c r="G15" i="30"/>
  <c r="I20" i="30"/>
  <c r="G23" i="30"/>
  <c r="I28" i="30"/>
  <c r="G31" i="30"/>
  <c r="I36" i="30"/>
  <c r="G39" i="30"/>
  <c r="I17" i="30"/>
  <c r="I9" i="30"/>
  <c r="I14" i="30"/>
  <c r="G17" i="30"/>
  <c r="I22" i="30"/>
  <c r="G25" i="30"/>
  <c r="I30" i="30"/>
  <c r="G33" i="30"/>
  <c r="I38" i="30"/>
  <c r="G6" i="30"/>
  <c r="G11" i="30"/>
  <c r="I16" i="30"/>
  <c r="G19" i="30"/>
  <c r="I24" i="30"/>
  <c r="G27" i="30"/>
  <c r="I32" i="30"/>
  <c r="G35" i="30"/>
  <c r="G8" i="30"/>
  <c r="I10" i="30"/>
  <c r="G13" i="30"/>
  <c r="I15" i="30"/>
  <c r="I18" i="30"/>
  <c r="G21" i="30"/>
  <c r="I26" i="30"/>
  <c r="G29" i="30"/>
  <c r="I34" i="30"/>
  <c r="G37" i="30"/>
  <c r="I8" i="30"/>
  <c r="I11" i="30"/>
  <c r="F14" i="30"/>
  <c r="G16" i="30"/>
  <c r="F18" i="30"/>
  <c r="F20" i="30"/>
  <c r="F22" i="30"/>
  <c r="F24" i="30"/>
  <c r="F26" i="30"/>
  <c r="F28" i="30"/>
  <c r="F32" i="30"/>
  <c r="I33" i="30"/>
  <c r="I35" i="30"/>
  <c r="I37" i="30"/>
  <c r="G7" i="30"/>
  <c r="G10" i="30"/>
  <c r="G12" i="30"/>
  <c r="F15" i="30"/>
  <c r="F17" i="30"/>
  <c r="G18" i="30"/>
  <c r="G20" i="30"/>
  <c r="G22" i="30"/>
  <c r="G24" i="30"/>
  <c r="G26" i="30"/>
  <c r="G28" i="30"/>
  <c r="G30" i="30"/>
  <c r="G32" i="30"/>
  <c r="G34" i="30"/>
  <c r="G36" i="30"/>
  <c r="G38" i="30"/>
  <c r="I6" i="30"/>
  <c r="F10" i="30"/>
  <c r="I13" i="30"/>
  <c r="I21" i="30"/>
  <c r="I25" i="30"/>
  <c r="I29" i="30"/>
  <c r="I31" i="30"/>
  <c r="F34" i="30"/>
  <c r="F36" i="30"/>
  <c r="F38" i="30"/>
  <c r="I39" i="30"/>
  <c r="I5" i="30"/>
  <c r="G9" i="30"/>
  <c r="G14" i="30"/>
  <c r="F6" i="30"/>
  <c r="F8" i="30"/>
  <c r="F11" i="30"/>
  <c r="F13" i="30"/>
  <c r="F19" i="30"/>
  <c r="F21" i="30"/>
  <c r="F23" i="30"/>
  <c r="F25" i="30"/>
  <c r="F27" i="30"/>
  <c r="F29" i="30"/>
  <c r="F31" i="30"/>
  <c r="F33" i="30"/>
  <c r="F35" i="30"/>
  <c r="F37" i="30"/>
  <c r="G5" i="30"/>
  <c r="F7" i="30"/>
  <c r="F9" i="30"/>
  <c r="F12" i="30"/>
  <c r="I19" i="30"/>
  <c r="I23" i="30"/>
  <c r="I27" i="30"/>
  <c r="F30" i="30"/>
  <c r="F16" i="30"/>
  <c r="X6" i="22"/>
  <c r="X6" i="24"/>
  <c r="X6" i="23"/>
  <c r="X6" i="29"/>
  <c r="Q51" i="29"/>
  <c r="D51" i="29"/>
  <c r="C51" i="29"/>
  <c r="Q50" i="29"/>
  <c r="C50" i="29"/>
  <c r="D50" i="29" s="1"/>
  <c r="Q49" i="29"/>
  <c r="D49" i="29"/>
  <c r="C49" i="29"/>
  <c r="Q48" i="29"/>
  <c r="C48" i="29"/>
  <c r="D48" i="29" s="1"/>
  <c r="Q47" i="29"/>
  <c r="D47" i="29"/>
  <c r="C47" i="29"/>
  <c r="Q46" i="29"/>
  <c r="D46" i="29"/>
  <c r="C46" i="29"/>
  <c r="Q45" i="29"/>
  <c r="D45" i="29"/>
  <c r="C45" i="29"/>
  <c r="Q44" i="29"/>
  <c r="C44" i="29"/>
  <c r="D44" i="29" s="1"/>
  <c r="Q43" i="29"/>
  <c r="D43" i="29"/>
  <c r="C43" i="29"/>
  <c r="Q42" i="29"/>
  <c r="D42" i="29"/>
  <c r="C42" i="29"/>
  <c r="Q41" i="29"/>
  <c r="C41" i="29"/>
  <c r="D41" i="29" s="1"/>
  <c r="Q40" i="29"/>
  <c r="C40" i="29"/>
  <c r="D40" i="29" s="1"/>
  <c r="Q39" i="29"/>
  <c r="D39" i="29"/>
  <c r="C39" i="29"/>
  <c r="Q38" i="29"/>
  <c r="D38" i="29"/>
  <c r="C38" i="29"/>
  <c r="Q37" i="29"/>
  <c r="C37" i="29"/>
  <c r="D37" i="29" s="1"/>
  <c r="Q36" i="29"/>
  <c r="C36" i="29"/>
  <c r="D36" i="29" s="1"/>
  <c r="Q35" i="29"/>
  <c r="D35" i="29"/>
  <c r="C35" i="29"/>
  <c r="Q34" i="29"/>
  <c r="D34" i="29"/>
  <c r="C34" i="29"/>
  <c r="Q33" i="29"/>
  <c r="C33" i="29"/>
  <c r="D33" i="29" s="1"/>
  <c r="Q32" i="29"/>
  <c r="C32" i="29"/>
  <c r="D32" i="29" s="1"/>
  <c r="Q31" i="29"/>
  <c r="D31" i="29"/>
  <c r="C31" i="29"/>
  <c r="Q30" i="29"/>
  <c r="D30" i="29"/>
  <c r="C30" i="29"/>
  <c r="Q29" i="29"/>
  <c r="C29" i="29"/>
  <c r="D29" i="29" s="1"/>
  <c r="Q28" i="29"/>
  <c r="D28" i="29"/>
  <c r="C28" i="29"/>
  <c r="Q27" i="29"/>
  <c r="D27" i="29"/>
  <c r="C27" i="29"/>
  <c r="Q26" i="29"/>
  <c r="D26" i="29"/>
  <c r="C26" i="29"/>
  <c r="Q25" i="29"/>
  <c r="C25" i="29"/>
  <c r="D25" i="29" s="1"/>
  <c r="Q24" i="29"/>
  <c r="C24" i="29"/>
  <c r="D24" i="29" s="1"/>
  <c r="Q23" i="29"/>
  <c r="D23" i="29"/>
  <c r="C23" i="29"/>
  <c r="Q22" i="29"/>
  <c r="D22" i="29"/>
  <c r="C22" i="29"/>
  <c r="Q21" i="29"/>
  <c r="C21" i="29"/>
  <c r="D21" i="29" s="1"/>
  <c r="Q20" i="29"/>
  <c r="C20" i="29"/>
  <c r="D20" i="29" s="1"/>
  <c r="Q19" i="29"/>
  <c r="D19" i="29"/>
  <c r="C19" i="29"/>
  <c r="Q18" i="29"/>
  <c r="C18" i="29"/>
  <c r="D18" i="29" s="1"/>
  <c r="Q17" i="29"/>
  <c r="C17" i="29"/>
  <c r="D17" i="29" s="1"/>
  <c r="Q16" i="29"/>
  <c r="D16" i="29"/>
  <c r="C16" i="29"/>
  <c r="Q15" i="29"/>
  <c r="C15" i="29"/>
  <c r="D15" i="29" s="1"/>
  <c r="Q14" i="29"/>
  <c r="C14" i="29"/>
  <c r="D14" i="29" s="1"/>
  <c r="Q13" i="29"/>
  <c r="C13" i="29"/>
  <c r="D13" i="29" s="1"/>
  <c r="Q12" i="29"/>
  <c r="O12" i="29"/>
  <c r="N12" i="29"/>
  <c r="R12" i="29" s="1"/>
  <c r="C12" i="29"/>
  <c r="D12" i="29" s="1"/>
  <c r="X52" i="29"/>
  <c r="X6" i="28"/>
  <c r="X6" i="27"/>
  <c r="C6" i="28"/>
  <c r="C2" i="28"/>
  <c r="Q51" i="28"/>
  <c r="F51" i="28"/>
  <c r="E51" i="28"/>
  <c r="G51" i="28" s="1"/>
  <c r="D51" i="28"/>
  <c r="C51" i="28"/>
  <c r="Q50" i="28"/>
  <c r="G50" i="28"/>
  <c r="E50" i="28"/>
  <c r="F50" i="28" s="1"/>
  <c r="C50" i="28"/>
  <c r="D50" i="28" s="1"/>
  <c r="Q49" i="28"/>
  <c r="E49" i="28"/>
  <c r="G49" i="28" s="1"/>
  <c r="D49" i="28"/>
  <c r="C49" i="28"/>
  <c r="Q48" i="28"/>
  <c r="E48" i="28"/>
  <c r="C48" i="28"/>
  <c r="D48" i="28" s="1"/>
  <c r="Q47" i="28"/>
  <c r="F47" i="28"/>
  <c r="E47" i="28"/>
  <c r="G47" i="28" s="1"/>
  <c r="D47" i="28"/>
  <c r="C47" i="28"/>
  <c r="Q46" i="28"/>
  <c r="G46" i="28"/>
  <c r="E46" i="28"/>
  <c r="F46" i="28" s="1"/>
  <c r="C46" i="28"/>
  <c r="D46" i="28" s="1"/>
  <c r="Q45" i="28"/>
  <c r="E45" i="28"/>
  <c r="G45" i="28" s="1"/>
  <c r="D45" i="28"/>
  <c r="C45" i="28"/>
  <c r="Q44" i="28"/>
  <c r="E44" i="28"/>
  <c r="D44" i="28"/>
  <c r="C44" i="28"/>
  <c r="Q43" i="28"/>
  <c r="F43" i="28"/>
  <c r="E43" i="28"/>
  <c r="G43" i="28" s="1"/>
  <c r="D43" i="28"/>
  <c r="C43" i="28"/>
  <c r="Q42" i="28"/>
  <c r="G42" i="28"/>
  <c r="E42" i="28"/>
  <c r="C42" i="28"/>
  <c r="D42" i="28" s="1"/>
  <c r="Q41" i="28"/>
  <c r="G41" i="28"/>
  <c r="E41" i="28"/>
  <c r="F42" i="28" s="1"/>
  <c r="D41" i="28"/>
  <c r="C41" i="28"/>
  <c r="Q40" i="28"/>
  <c r="E40" i="28"/>
  <c r="D40" i="28"/>
  <c r="C40" i="28"/>
  <c r="Q39" i="28"/>
  <c r="F39" i="28"/>
  <c r="E39" i="28"/>
  <c r="G39" i="28" s="1"/>
  <c r="D39" i="28"/>
  <c r="C39" i="28"/>
  <c r="Q38" i="28"/>
  <c r="G38" i="28"/>
  <c r="F38" i="28"/>
  <c r="E38" i="28"/>
  <c r="C38" i="28"/>
  <c r="D38" i="28" s="1"/>
  <c r="Q37" i="28"/>
  <c r="G37" i="28"/>
  <c r="E37" i="28"/>
  <c r="D37" i="28"/>
  <c r="C37" i="28"/>
  <c r="Q36" i="28"/>
  <c r="E36" i="28"/>
  <c r="D36" i="28"/>
  <c r="C36" i="28"/>
  <c r="Q35" i="28"/>
  <c r="F35" i="28"/>
  <c r="E35" i="28"/>
  <c r="G35" i="28" s="1"/>
  <c r="D35" i="28"/>
  <c r="C35" i="28"/>
  <c r="Q34" i="28"/>
  <c r="G34" i="28"/>
  <c r="E34" i="28"/>
  <c r="C34" i="28"/>
  <c r="D34" i="28" s="1"/>
  <c r="Q33" i="28"/>
  <c r="E33" i="28"/>
  <c r="C33" i="28"/>
  <c r="D33" i="28" s="1"/>
  <c r="Q32" i="28"/>
  <c r="G32" i="28"/>
  <c r="E32" i="28"/>
  <c r="F32" i="28" s="1"/>
  <c r="C32" i="28"/>
  <c r="D32" i="28" s="1"/>
  <c r="Q31" i="28"/>
  <c r="G31" i="28"/>
  <c r="E31" i="28"/>
  <c r="D31" i="28"/>
  <c r="C31" i="28"/>
  <c r="Q30" i="28"/>
  <c r="E30" i="28"/>
  <c r="D30" i="28"/>
  <c r="C30" i="28"/>
  <c r="Q29" i="28"/>
  <c r="F29" i="28"/>
  <c r="E29" i="28"/>
  <c r="G29" i="28" s="1"/>
  <c r="D29" i="28"/>
  <c r="C29" i="28"/>
  <c r="Q28" i="28"/>
  <c r="G28" i="28"/>
  <c r="E28" i="28"/>
  <c r="F28" i="28" s="1"/>
  <c r="C28" i="28"/>
  <c r="D28" i="28" s="1"/>
  <c r="Q27" i="28"/>
  <c r="G27" i="28"/>
  <c r="E27" i="28"/>
  <c r="D27" i="28"/>
  <c r="C27" i="28"/>
  <c r="Q26" i="28"/>
  <c r="E26" i="28"/>
  <c r="D26" i="28"/>
  <c r="C26" i="28"/>
  <c r="Q25" i="28"/>
  <c r="F25" i="28"/>
  <c r="E25" i="28"/>
  <c r="G25" i="28" s="1"/>
  <c r="D25" i="28"/>
  <c r="C25" i="28"/>
  <c r="Q24" i="28"/>
  <c r="G24" i="28"/>
  <c r="E24" i="28"/>
  <c r="F24" i="28" s="1"/>
  <c r="C24" i="28"/>
  <c r="D24" i="28" s="1"/>
  <c r="Q23" i="28"/>
  <c r="G23" i="28"/>
  <c r="E23" i="28"/>
  <c r="C23" i="28"/>
  <c r="D23" i="28" s="1"/>
  <c r="Q22" i="28"/>
  <c r="E22" i="28"/>
  <c r="D22" i="28"/>
  <c r="C22" i="28"/>
  <c r="S21" i="28"/>
  <c r="Q21" i="28"/>
  <c r="E21" i="28"/>
  <c r="G21" i="28" s="1"/>
  <c r="D21" i="28"/>
  <c r="C21" i="28"/>
  <c r="Q20" i="28"/>
  <c r="E20" i="28"/>
  <c r="G20" i="28" s="1"/>
  <c r="C20" i="28"/>
  <c r="D20" i="28" s="1"/>
  <c r="Q19" i="28"/>
  <c r="G19" i="28"/>
  <c r="E19" i="28"/>
  <c r="C19" i="28"/>
  <c r="D19" i="28" s="1"/>
  <c r="Q18" i="28"/>
  <c r="E18" i="28"/>
  <c r="F19" i="28" s="1"/>
  <c r="C18" i="28"/>
  <c r="D18" i="28" s="1"/>
  <c r="Q17" i="28"/>
  <c r="E17" i="28"/>
  <c r="G17" i="28" s="1"/>
  <c r="D17" i="28"/>
  <c r="C17" i="28"/>
  <c r="Q16" i="28"/>
  <c r="G16" i="28"/>
  <c r="E16" i="28"/>
  <c r="F16" i="28" s="1"/>
  <c r="C16" i="28"/>
  <c r="D16" i="28" s="1"/>
  <c r="S15" i="28"/>
  <c r="Q15" i="28"/>
  <c r="G15" i="28"/>
  <c r="E15" i="28"/>
  <c r="C15" i="28"/>
  <c r="D15" i="28" s="1"/>
  <c r="Q14" i="28"/>
  <c r="E14" i="28"/>
  <c r="C14" i="28"/>
  <c r="D14" i="28" s="1"/>
  <c r="S13" i="28"/>
  <c r="Q13" i="28"/>
  <c r="E13" i="28"/>
  <c r="G13" i="28" s="1"/>
  <c r="C13" i="28"/>
  <c r="D13" i="28" s="1"/>
  <c r="Q12" i="28"/>
  <c r="O12" i="28"/>
  <c r="N12" i="28"/>
  <c r="R12" i="28" s="1"/>
  <c r="K12" i="28"/>
  <c r="F12" i="28"/>
  <c r="E12" i="28"/>
  <c r="G12" i="28" s="1"/>
  <c r="D12" i="28"/>
  <c r="C12" i="28"/>
  <c r="X52" i="28"/>
  <c r="S25" i="28"/>
  <c r="X52" i="27"/>
  <c r="Q51" i="27"/>
  <c r="D51" i="27"/>
  <c r="C51" i="27"/>
  <c r="Q50" i="27"/>
  <c r="D50" i="27"/>
  <c r="C50" i="27"/>
  <c r="Q49" i="27"/>
  <c r="D49" i="27"/>
  <c r="C49" i="27"/>
  <c r="Q48" i="27"/>
  <c r="C48" i="27"/>
  <c r="D48" i="27" s="1"/>
  <c r="Q47" i="27"/>
  <c r="D47" i="27"/>
  <c r="C47" i="27"/>
  <c r="Q46" i="27"/>
  <c r="D46" i="27"/>
  <c r="C46" i="27"/>
  <c r="Q45" i="27"/>
  <c r="D45" i="27"/>
  <c r="C45" i="27"/>
  <c r="Q44" i="27"/>
  <c r="C44" i="27"/>
  <c r="D44" i="27" s="1"/>
  <c r="Q43" i="27"/>
  <c r="D43" i="27"/>
  <c r="C43" i="27"/>
  <c r="Q42" i="27"/>
  <c r="D42" i="27"/>
  <c r="C42" i="27"/>
  <c r="Q41" i="27"/>
  <c r="D41" i="27"/>
  <c r="C41" i="27"/>
  <c r="Q40" i="27"/>
  <c r="C40" i="27"/>
  <c r="D40" i="27" s="1"/>
  <c r="Q39" i="27"/>
  <c r="D39" i="27"/>
  <c r="C39" i="27"/>
  <c r="Q38" i="27"/>
  <c r="D38" i="27"/>
  <c r="C38" i="27"/>
  <c r="Q37" i="27"/>
  <c r="D37" i="27"/>
  <c r="C37" i="27"/>
  <c r="Q36" i="27"/>
  <c r="C36" i="27"/>
  <c r="D36" i="27" s="1"/>
  <c r="Q35" i="27"/>
  <c r="C35" i="27"/>
  <c r="D35" i="27" s="1"/>
  <c r="Q34" i="27"/>
  <c r="D34" i="27"/>
  <c r="C34" i="27"/>
  <c r="Q33" i="27"/>
  <c r="C33" i="27"/>
  <c r="D33" i="27" s="1"/>
  <c r="Q32" i="27"/>
  <c r="C32" i="27"/>
  <c r="D32" i="27" s="1"/>
  <c r="Q31" i="27"/>
  <c r="C31" i="27"/>
  <c r="D31" i="27" s="1"/>
  <c r="Q30" i="27"/>
  <c r="C30" i="27"/>
  <c r="D30" i="27" s="1"/>
  <c r="Q29" i="27"/>
  <c r="D29" i="27"/>
  <c r="C29" i="27"/>
  <c r="Q28" i="27"/>
  <c r="C28" i="27"/>
  <c r="D28" i="27" s="1"/>
  <c r="Q27" i="27"/>
  <c r="C27" i="27"/>
  <c r="D27" i="27" s="1"/>
  <c r="Q26" i="27"/>
  <c r="C26" i="27"/>
  <c r="D26" i="27" s="1"/>
  <c r="Q25" i="27"/>
  <c r="D25" i="27"/>
  <c r="C25" i="27"/>
  <c r="Q24" i="27"/>
  <c r="C24" i="27"/>
  <c r="D24" i="27" s="1"/>
  <c r="Q23" i="27"/>
  <c r="C23" i="27"/>
  <c r="D23" i="27" s="1"/>
  <c r="Q22" i="27"/>
  <c r="C22" i="27"/>
  <c r="D22" i="27" s="1"/>
  <c r="Q21" i="27"/>
  <c r="D21" i="27"/>
  <c r="C21" i="27"/>
  <c r="Q20" i="27"/>
  <c r="C20" i="27"/>
  <c r="D20" i="27" s="1"/>
  <c r="Q19" i="27"/>
  <c r="D19" i="27"/>
  <c r="C19" i="27"/>
  <c r="Q18" i="27"/>
  <c r="C18" i="27"/>
  <c r="D18" i="27" s="1"/>
  <c r="Q17" i="27"/>
  <c r="D17" i="27"/>
  <c r="C17" i="27"/>
  <c r="Q16" i="27"/>
  <c r="C16" i="27"/>
  <c r="D16" i="27" s="1"/>
  <c r="Q15" i="27"/>
  <c r="D15" i="27"/>
  <c r="C15" i="27"/>
  <c r="Q14" i="27"/>
  <c r="C14" i="27"/>
  <c r="D14" i="27" s="1"/>
  <c r="Q13" i="27"/>
  <c r="C13" i="27"/>
  <c r="D13" i="27" s="1"/>
  <c r="Q12" i="27"/>
  <c r="O12" i="27"/>
  <c r="N12" i="27"/>
  <c r="R12" i="27" s="1"/>
  <c r="K12" i="27"/>
  <c r="E12" i="27"/>
  <c r="G12" i="27" s="1"/>
  <c r="D12" i="27"/>
  <c r="C12" i="27"/>
  <c r="X52" i="26"/>
  <c r="Q51" i="26"/>
  <c r="G51" i="26"/>
  <c r="F51" i="26"/>
  <c r="C51" i="26"/>
  <c r="D51" i="26" s="1"/>
  <c r="Q50" i="26"/>
  <c r="G50" i="26"/>
  <c r="F50" i="26"/>
  <c r="C50" i="26"/>
  <c r="D50" i="26" s="1"/>
  <c r="Q49" i="26"/>
  <c r="G49" i="26"/>
  <c r="F49" i="26"/>
  <c r="C49" i="26"/>
  <c r="D49" i="26" s="1"/>
  <c r="Q48" i="26"/>
  <c r="G48" i="26"/>
  <c r="F48" i="26"/>
  <c r="C48" i="26"/>
  <c r="D48" i="26" s="1"/>
  <c r="Q47" i="26"/>
  <c r="G47" i="26"/>
  <c r="F47" i="26"/>
  <c r="C47" i="26"/>
  <c r="D47" i="26" s="1"/>
  <c r="Q46" i="26"/>
  <c r="G46" i="26"/>
  <c r="F46" i="26"/>
  <c r="C46" i="26"/>
  <c r="D46" i="26" s="1"/>
  <c r="Q45" i="26"/>
  <c r="G45" i="26"/>
  <c r="F45" i="26"/>
  <c r="C45" i="26"/>
  <c r="D45" i="26" s="1"/>
  <c r="Q44" i="26"/>
  <c r="G44" i="26"/>
  <c r="F44" i="26"/>
  <c r="C44" i="26"/>
  <c r="D44" i="26" s="1"/>
  <c r="Q43" i="26"/>
  <c r="G43" i="26"/>
  <c r="F43" i="26"/>
  <c r="C43" i="26"/>
  <c r="D43" i="26" s="1"/>
  <c r="Q42" i="26"/>
  <c r="G42" i="26"/>
  <c r="F42" i="26"/>
  <c r="C42" i="26"/>
  <c r="D42" i="26" s="1"/>
  <c r="Q41" i="26"/>
  <c r="G41" i="26"/>
  <c r="F41" i="26"/>
  <c r="C41" i="26"/>
  <c r="D41" i="26" s="1"/>
  <c r="Q40" i="26"/>
  <c r="G40" i="26"/>
  <c r="F40" i="26"/>
  <c r="C40" i="26"/>
  <c r="D40" i="26" s="1"/>
  <c r="Q39" i="26"/>
  <c r="G39" i="26"/>
  <c r="F39" i="26"/>
  <c r="C39" i="26"/>
  <c r="D39" i="26" s="1"/>
  <c r="Q38" i="26"/>
  <c r="G38" i="26"/>
  <c r="F38" i="26"/>
  <c r="C38" i="26"/>
  <c r="D38" i="26" s="1"/>
  <c r="Q37" i="26"/>
  <c r="G37" i="26"/>
  <c r="F37" i="26"/>
  <c r="C37" i="26"/>
  <c r="D37" i="26" s="1"/>
  <c r="Q36" i="26"/>
  <c r="G36" i="26"/>
  <c r="F36" i="26"/>
  <c r="C36" i="26"/>
  <c r="D36" i="26" s="1"/>
  <c r="Q35" i="26"/>
  <c r="G35" i="26"/>
  <c r="F35" i="26"/>
  <c r="C35" i="26"/>
  <c r="D35" i="26" s="1"/>
  <c r="Q34" i="26"/>
  <c r="G34" i="26"/>
  <c r="F34" i="26"/>
  <c r="C34" i="26"/>
  <c r="D34" i="26" s="1"/>
  <c r="Q33" i="26"/>
  <c r="G33" i="26"/>
  <c r="F33" i="26"/>
  <c r="C33" i="26"/>
  <c r="D33" i="26" s="1"/>
  <c r="Q32" i="26"/>
  <c r="G32" i="26"/>
  <c r="F32" i="26"/>
  <c r="C32" i="26"/>
  <c r="D32" i="26" s="1"/>
  <c r="Q31" i="26"/>
  <c r="G31" i="26"/>
  <c r="F31" i="26"/>
  <c r="C31" i="26"/>
  <c r="D31" i="26" s="1"/>
  <c r="Q30" i="26"/>
  <c r="G30" i="26"/>
  <c r="F30" i="26"/>
  <c r="C30" i="26"/>
  <c r="D30" i="26" s="1"/>
  <c r="Q29" i="26"/>
  <c r="G29" i="26"/>
  <c r="F29" i="26"/>
  <c r="C29" i="26"/>
  <c r="D29" i="26" s="1"/>
  <c r="Q28" i="26"/>
  <c r="G28" i="26"/>
  <c r="F28" i="26"/>
  <c r="C28" i="26"/>
  <c r="D28" i="26" s="1"/>
  <c r="Q27" i="26"/>
  <c r="G27" i="26"/>
  <c r="F27" i="26"/>
  <c r="C27" i="26"/>
  <c r="D27" i="26" s="1"/>
  <c r="Q26" i="26"/>
  <c r="G26" i="26"/>
  <c r="F26" i="26"/>
  <c r="C26" i="26"/>
  <c r="D26" i="26" s="1"/>
  <c r="Q25" i="26"/>
  <c r="G25" i="26"/>
  <c r="F25" i="26"/>
  <c r="D25" i="26"/>
  <c r="C25" i="26"/>
  <c r="Q24" i="26"/>
  <c r="G24" i="26"/>
  <c r="F24" i="26"/>
  <c r="D24" i="26"/>
  <c r="C24" i="26"/>
  <c r="Q23" i="26"/>
  <c r="G23" i="26"/>
  <c r="F23" i="26"/>
  <c r="D23" i="26"/>
  <c r="C23" i="26"/>
  <c r="Q22" i="26"/>
  <c r="G22" i="26"/>
  <c r="F22" i="26"/>
  <c r="D22" i="26"/>
  <c r="C22" i="26"/>
  <c r="Q21" i="26"/>
  <c r="G21" i="26"/>
  <c r="F21" i="26"/>
  <c r="D21" i="26"/>
  <c r="C21" i="26"/>
  <c r="Q20" i="26"/>
  <c r="G20" i="26"/>
  <c r="F20" i="26"/>
  <c r="D20" i="26"/>
  <c r="C20" i="26"/>
  <c r="Q19" i="26"/>
  <c r="G19" i="26"/>
  <c r="F19" i="26"/>
  <c r="D19" i="26"/>
  <c r="C19" i="26"/>
  <c r="Q18" i="26"/>
  <c r="G18" i="26"/>
  <c r="F18" i="26"/>
  <c r="D18" i="26"/>
  <c r="C18" i="26"/>
  <c r="Q17" i="26"/>
  <c r="G17" i="26"/>
  <c r="F17" i="26"/>
  <c r="D17" i="26"/>
  <c r="C17" i="26"/>
  <c r="Q16" i="26"/>
  <c r="G16" i="26"/>
  <c r="F16" i="26"/>
  <c r="D16" i="26"/>
  <c r="C16" i="26"/>
  <c r="Q15" i="26"/>
  <c r="G15" i="26"/>
  <c r="F15" i="26"/>
  <c r="D15" i="26"/>
  <c r="C15" i="26"/>
  <c r="Q14" i="26"/>
  <c r="G14" i="26"/>
  <c r="F14" i="26"/>
  <c r="C14" i="26"/>
  <c r="D14" i="26" s="1"/>
  <c r="Q13" i="26"/>
  <c r="G13" i="26"/>
  <c r="F13" i="26"/>
  <c r="C13" i="26"/>
  <c r="D13" i="26" s="1"/>
  <c r="R12" i="26"/>
  <c r="Q12" i="26"/>
  <c r="O12" i="26"/>
  <c r="N12" i="26"/>
  <c r="G12" i="26"/>
  <c r="F12" i="26"/>
  <c r="C12" i="26"/>
  <c r="J3" i="30" l="1"/>
  <c r="M5" i="30" s="1"/>
  <c r="H7" i="30"/>
  <c r="H30" i="27"/>
  <c r="I3" i="30"/>
  <c r="M9" i="30" s="1"/>
  <c r="F3" i="30"/>
  <c r="H48" i="29"/>
  <c r="H44" i="29"/>
  <c r="H40" i="29"/>
  <c r="H36" i="29"/>
  <c r="H51" i="29"/>
  <c r="H47" i="29"/>
  <c r="H43" i="29"/>
  <c r="H39" i="29"/>
  <c r="H50" i="29"/>
  <c r="H46" i="29"/>
  <c r="H42" i="29"/>
  <c r="H38" i="29"/>
  <c r="H34" i="29"/>
  <c r="H49" i="29"/>
  <c r="H45" i="29"/>
  <c r="H41" i="29"/>
  <c r="H37" i="29"/>
  <c r="H35" i="29"/>
  <c r="H30" i="29"/>
  <c r="H26" i="29"/>
  <c r="H22" i="29"/>
  <c r="H18" i="29"/>
  <c r="H33" i="29"/>
  <c r="H29" i="29"/>
  <c r="H25" i="29"/>
  <c r="H21" i="29"/>
  <c r="H17" i="29"/>
  <c r="H20" i="29"/>
  <c r="H19" i="29"/>
  <c r="H13" i="29"/>
  <c r="H12" i="29"/>
  <c r="H32" i="29"/>
  <c r="H31" i="29"/>
  <c r="H16" i="29"/>
  <c r="H28" i="29"/>
  <c r="H27" i="29"/>
  <c r="H15" i="29"/>
  <c r="H24" i="29"/>
  <c r="H23" i="29"/>
  <c r="H14" i="29"/>
  <c r="K12" i="29"/>
  <c r="H48" i="28"/>
  <c r="H44" i="28"/>
  <c r="H40" i="28"/>
  <c r="H36" i="28"/>
  <c r="H51" i="28"/>
  <c r="H47" i="28"/>
  <c r="H43" i="28"/>
  <c r="H39" i="28"/>
  <c r="H35" i="28"/>
  <c r="H50" i="28"/>
  <c r="H46" i="28"/>
  <c r="H42" i="28"/>
  <c r="H38" i="28"/>
  <c r="H34" i="28"/>
  <c r="H45" i="28"/>
  <c r="H41" i="28"/>
  <c r="H30" i="28"/>
  <c r="H26" i="28"/>
  <c r="H22" i="28"/>
  <c r="H49" i="28"/>
  <c r="H29" i="28"/>
  <c r="H25" i="28"/>
  <c r="H21" i="28"/>
  <c r="H37" i="28"/>
  <c r="H32" i="28"/>
  <c r="H28" i="28"/>
  <c r="H24" i="28"/>
  <c r="H20" i="28"/>
  <c r="H16" i="28"/>
  <c r="H13" i="28"/>
  <c r="H14" i="28"/>
  <c r="L12" i="28"/>
  <c r="H15" i="28"/>
  <c r="S16" i="28"/>
  <c r="F17" i="28"/>
  <c r="G18" i="28"/>
  <c r="F20" i="28"/>
  <c r="F27" i="28"/>
  <c r="G26" i="28"/>
  <c r="F26" i="28"/>
  <c r="H33" i="28"/>
  <c r="F21" i="28"/>
  <c r="F23" i="28"/>
  <c r="G22" i="28"/>
  <c r="F22" i="28"/>
  <c r="H31" i="28"/>
  <c r="S50" i="28"/>
  <c r="S46" i="28"/>
  <c r="S42" i="28"/>
  <c r="S38" i="28"/>
  <c r="S49" i="28"/>
  <c r="S45" i="28"/>
  <c r="S41" i="28"/>
  <c r="S37" i="28"/>
  <c r="S33" i="28"/>
  <c r="S48" i="28"/>
  <c r="S44" i="28"/>
  <c r="S40" i="28"/>
  <c r="S36" i="28"/>
  <c r="S35" i="28"/>
  <c r="S32" i="28"/>
  <c r="S28" i="28"/>
  <c r="S24" i="28"/>
  <c r="S20" i="28"/>
  <c r="S47" i="28"/>
  <c r="S43" i="28"/>
  <c r="S31" i="28"/>
  <c r="S27" i="28"/>
  <c r="S23" i="28"/>
  <c r="S51" i="28"/>
  <c r="S39" i="28"/>
  <c r="S34" i="28"/>
  <c r="S30" i="28"/>
  <c r="S26" i="28"/>
  <c r="S22" i="28"/>
  <c r="S18" i="28"/>
  <c r="S14" i="28"/>
  <c r="F14" i="28"/>
  <c r="H17" i="28"/>
  <c r="S17" i="28"/>
  <c r="H18" i="28"/>
  <c r="S19" i="28"/>
  <c r="H23" i="28"/>
  <c r="S29" i="28"/>
  <c r="F31" i="28"/>
  <c r="G30" i="28"/>
  <c r="F30" i="28"/>
  <c r="F18" i="28"/>
  <c r="H12" i="28"/>
  <c r="S12" i="28"/>
  <c r="F13" i="28"/>
  <c r="G14" i="28"/>
  <c r="F15" i="28"/>
  <c r="H19" i="28"/>
  <c r="H27" i="28"/>
  <c r="G40" i="28"/>
  <c r="F40" i="28"/>
  <c r="F49" i="28"/>
  <c r="G48" i="28"/>
  <c r="F48" i="28"/>
  <c r="F33" i="28"/>
  <c r="F34" i="28"/>
  <c r="G44" i="28"/>
  <c r="F44" i="28"/>
  <c r="G33" i="28"/>
  <c r="G36" i="28"/>
  <c r="F36" i="28"/>
  <c r="F37" i="28"/>
  <c r="F41" i="28"/>
  <c r="F45" i="28"/>
  <c r="L12" i="27"/>
  <c r="H29" i="27"/>
  <c r="F12" i="27"/>
  <c r="H21" i="27"/>
  <c r="H12" i="27"/>
  <c r="H17" i="27"/>
  <c r="H48" i="27"/>
  <c r="H44" i="27"/>
  <c r="H40" i="27"/>
  <c r="H36" i="27"/>
  <c r="H50" i="27"/>
  <c r="H46" i="27"/>
  <c r="H42" i="27"/>
  <c r="H49" i="27"/>
  <c r="H45" i="27"/>
  <c r="H41" i="27"/>
  <c r="H37" i="27"/>
  <c r="H51" i="27"/>
  <c r="H47" i="27"/>
  <c r="H39" i="27"/>
  <c r="H38" i="27"/>
  <c r="H32" i="27"/>
  <c r="H28" i="27"/>
  <c r="H24" i="27"/>
  <c r="H20" i="27"/>
  <c r="H35" i="27"/>
  <c r="H27" i="27"/>
  <c r="H16" i="27"/>
  <c r="H43" i="27"/>
  <c r="H33" i="27"/>
  <c r="H26" i="27"/>
  <c r="H25" i="27"/>
  <c r="H19" i="27"/>
  <c r="H15" i="27"/>
  <c r="H34" i="27"/>
  <c r="H31" i="27"/>
  <c r="H23" i="27"/>
  <c r="H18" i="27"/>
  <c r="H14" i="27"/>
  <c r="H13" i="27"/>
  <c r="H22" i="27"/>
  <c r="K12" i="26"/>
  <c r="D12" i="26"/>
  <c r="G9" i="25"/>
  <c r="X52" i="22"/>
  <c r="G7" i="25"/>
  <c r="G6" i="25"/>
  <c r="X52" i="21"/>
  <c r="M25" i="30" l="1"/>
  <c r="L21" i="30"/>
  <c r="M19" i="30"/>
  <c r="K8" i="30"/>
  <c r="L19" i="30"/>
  <c r="K7" i="30"/>
  <c r="M21" i="30"/>
  <c r="M14" i="30"/>
  <c r="L12" i="30"/>
  <c r="L14" i="30"/>
  <c r="L15" i="30"/>
  <c r="K5" i="30"/>
  <c r="K4" i="30"/>
  <c r="L17" i="30"/>
  <c r="M16" i="30"/>
  <c r="M28" i="30"/>
  <c r="I51" i="28"/>
  <c r="P51" i="28"/>
  <c r="P51" i="29"/>
  <c r="P51" i="27"/>
  <c r="H9" i="30"/>
  <c r="K25" i="29"/>
  <c r="K17" i="29"/>
  <c r="K14" i="29"/>
  <c r="K22" i="29"/>
  <c r="K19" i="29"/>
  <c r="K36" i="29"/>
  <c r="K50" i="29"/>
  <c r="K47" i="29"/>
  <c r="K48" i="29"/>
  <c r="K45" i="29"/>
  <c r="K16" i="29"/>
  <c r="K32" i="29"/>
  <c r="K20" i="29"/>
  <c r="K26" i="29"/>
  <c r="K23" i="29"/>
  <c r="K38" i="29"/>
  <c r="K35" i="29"/>
  <c r="K51" i="29"/>
  <c r="K49" i="29"/>
  <c r="K15" i="29"/>
  <c r="K28" i="29"/>
  <c r="K33" i="29"/>
  <c r="K21" i="29"/>
  <c r="K30" i="29"/>
  <c r="K27" i="29"/>
  <c r="K42" i="29"/>
  <c r="K39" i="29"/>
  <c r="K40" i="29"/>
  <c r="K37" i="29"/>
  <c r="K24" i="29"/>
  <c r="K29" i="29"/>
  <c r="K13" i="29"/>
  <c r="K18" i="29"/>
  <c r="K34" i="29"/>
  <c r="K31" i="29"/>
  <c r="K46" i="29"/>
  <c r="K43" i="29"/>
  <c r="K44" i="29"/>
  <c r="K41" i="29"/>
  <c r="I37" i="28"/>
  <c r="K38" i="28"/>
  <c r="I41" i="28"/>
  <c r="K42" i="28"/>
  <c r="I39" i="28"/>
  <c r="K40" i="28"/>
  <c r="K13" i="28"/>
  <c r="I12" i="28"/>
  <c r="I33" i="28"/>
  <c r="K34" i="28"/>
  <c r="I15" i="28"/>
  <c r="K16" i="28"/>
  <c r="K15" i="28"/>
  <c r="I14" i="28"/>
  <c r="I24" i="28"/>
  <c r="K25" i="28"/>
  <c r="I21" i="28"/>
  <c r="K22" i="28"/>
  <c r="K23" i="28"/>
  <c r="I22" i="28"/>
  <c r="I45" i="28"/>
  <c r="K46" i="28"/>
  <c r="I46" i="28"/>
  <c r="K47" i="28"/>
  <c r="I43" i="28"/>
  <c r="K44" i="28"/>
  <c r="K41" i="28"/>
  <c r="I40" i="28"/>
  <c r="I49" i="28"/>
  <c r="K50" i="28"/>
  <c r="I42" i="28"/>
  <c r="K43" i="28"/>
  <c r="K37" i="28"/>
  <c r="I36" i="28"/>
  <c r="I18" i="28"/>
  <c r="K19" i="28"/>
  <c r="K14" i="28"/>
  <c r="I13" i="28"/>
  <c r="I28" i="28"/>
  <c r="K29" i="28"/>
  <c r="I25" i="28"/>
  <c r="K26" i="28"/>
  <c r="K27" i="28"/>
  <c r="I26" i="28"/>
  <c r="I34" i="28"/>
  <c r="K35" i="28"/>
  <c r="I50" i="28"/>
  <c r="J51" i="28" s="1"/>
  <c r="K51" i="28"/>
  <c r="I47" i="28"/>
  <c r="K48" i="28"/>
  <c r="K45" i="28"/>
  <c r="I44" i="28"/>
  <c r="I19" i="28"/>
  <c r="K20" i="28"/>
  <c r="T12" i="28"/>
  <c r="U12" i="28" s="1"/>
  <c r="V12" i="28" s="1"/>
  <c r="I17" i="28"/>
  <c r="K18" i="28"/>
  <c r="K21" i="28"/>
  <c r="I20" i="28"/>
  <c r="I27" i="28"/>
  <c r="K28" i="28"/>
  <c r="I23" i="28"/>
  <c r="K24" i="28"/>
  <c r="I31" i="28"/>
  <c r="K32" i="28"/>
  <c r="K17" i="28"/>
  <c r="I16" i="28"/>
  <c r="I32" i="28"/>
  <c r="K33" i="28"/>
  <c r="I29" i="28"/>
  <c r="K30" i="28"/>
  <c r="K31" i="28"/>
  <c r="I30" i="28"/>
  <c r="I38" i="28"/>
  <c r="K39" i="28"/>
  <c r="I35" i="28"/>
  <c r="K36" i="28"/>
  <c r="K49" i="28"/>
  <c r="I48" i="28"/>
  <c r="K35" i="27"/>
  <c r="K28" i="27"/>
  <c r="K48" i="27"/>
  <c r="K46" i="27"/>
  <c r="K49" i="27"/>
  <c r="K22" i="27"/>
  <c r="K19" i="27"/>
  <c r="K16" i="27"/>
  <c r="K34" i="27"/>
  <c r="K36" i="27"/>
  <c r="K33" i="27"/>
  <c r="K50" i="27"/>
  <c r="K37" i="27"/>
  <c r="K30" i="27"/>
  <c r="K14" i="27"/>
  <c r="K24" i="27"/>
  <c r="K20" i="27"/>
  <c r="K44" i="27"/>
  <c r="K21" i="27"/>
  <c r="K39" i="27"/>
  <c r="K38" i="27"/>
  <c r="K43" i="27"/>
  <c r="K41" i="27"/>
  <c r="K32" i="27"/>
  <c r="K26" i="27"/>
  <c r="K17" i="27"/>
  <c r="K25" i="27"/>
  <c r="K40" i="27"/>
  <c r="K42" i="27"/>
  <c r="K47" i="27"/>
  <c r="K45" i="27"/>
  <c r="K18" i="27"/>
  <c r="K13" i="27"/>
  <c r="I12" i="27"/>
  <c r="K23" i="27"/>
  <c r="K15" i="27"/>
  <c r="K27" i="27"/>
  <c r="K29" i="27"/>
  <c r="K51" i="27"/>
  <c r="K31" i="27"/>
  <c r="H51" i="26"/>
  <c r="H50" i="26"/>
  <c r="H49" i="26"/>
  <c r="H48" i="26"/>
  <c r="H47" i="26"/>
  <c r="H46" i="26"/>
  <c r="H45" i="26"/>
  <c r="H44" i="26"/>
  <c r="H43" i="26"/>
  <c r="H42" i="26"/>
  <c r="H41" i="26"/>
  <c r="H40" i="26"/>
  <c r="H36" i="26"/>
  <c r="H37" i="26"/>
  <c r="H32" i="26"/>
  <c r="H28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39" i="26"/>
  <c r="H33" i="26"/>
  <c r="H29" i="26"/>
  <c r="H34" i="26"/>
  <c r="H30" i="26"/>
  <c r="H26" i="26"/>
  <c r="H38" i="26"/>
  <c r="H35" i="26"/>
  <c r="H31" i="26"/>
  <c r="H12" i="26"/>
  <c r="H27" i="26"/>
  <c r="L12" i="26"/>
  <c r="X52" i="23"/>
  <c r="G8" i="25"/>
  <c r="X52" i="24"/>
  <c r="X12" i="24"/>
  <c r="C6" i="24"/>
  <c r="S39" i="24" s="1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F25" i="24" s="1"/>
  <c r="E25" i="24"/>
  <c r="E26" i="24"/>
  <c r="E27" i="24"/>
  <c r="E28" i="24"/>
  <c r="F29" i="24" s="1"/>
  <c r="E29" i="24"/>
  <c r="E30" i="24"/>
  <c r="E31" i="24"/>
  <c r="E32" i="24"/>
  <c r="F33" i="24" s="1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12" i="24"/>
  <c r="F32" i="24"/>
  <c r="F51" i="24"/>
  <c r="S17" i="24"/>
  <c r="C2" i="24"/>
  <c r="N52" i="24"/>
  <c r="Q51" i="24"/>
  <c r="D51" i="24"/>
  <c r="C51" i="24"/>
  <c r="Q50" i="24"/>
  <c r="F50" i="24"/>
  <c r="C50" i="24"/>
  <c r="D50" i="24" s="1"/>
  <c r="Q49" i="24"/>
  <c r="D49" i="24"/>
  <c r="C49" i="24"/>
  <c r="Q48" i="24"/>
  <c r="C48" i="24"/>
  <c r="D48" i="24" s="1"/>
  <c r="Q47" i="24"/>
  <c r="F47" i="24"/>
  <c r="D47" i="24"/>
  <c r="C47" i="24"/>
  <c r="Q46" i="24"/>
  <c r="F46" i="24"/>
  <c r="C46" i="24"/>
  <c r="D46" i="24" s="1"/>
  <c r="Q45" i="24"/>
  <c r="D45" i="24"/>
  <c r="C45" i="24"/>
  <c r="Q44" i="24"/>
  <c r="C44" i="24"/>
  <c r="D44" i="24" s="1"/>
  <c r="Q43" i="24"/>
  <c r="F43" i="24"/>
  <c r="D43" i="24"/>
  <c r="C43" i="24"/>
  <c r="Q42" i="24"/>
  <c r="F42" i="24"/>
  <c r="C42" i="24"/>
  <c r="D42" i="24" s="1"/>
  <c r="Q41" i="24"/>
  <c r="D41" i="24"/>
  <c r="C41" i="24"/>
  <c r="Q40" i="24"/>
  <c r="C40" i="24"/>
  <c r="D40" i="24" s="1"/>
  <c r="Q39" i="24"/>
  <c r="F39" i="24"/>
  <c r="D39" i="24"/>
  <c r="C39" i="24"/>
  <c r="Q38" i="24"/>
  <c r="F38" i="24"/>
  <c r="C38" i="24"/>
  <c r="D38" i="24" s="1"/>
  <c r="Q37" i="24"/>
  <c r="D37" i="24"/>
  <c r="C37" i="24"/>
  <c r="Q36" i="24"/>
  <c r="C36" i="24"/>
  <c r="D36" i="24" s="1"/>
  <c r="Q35" i="24"/>
  <c r="D35" i="24"/>
  <c r="C35" i="24"/>
  <c r="Q34" i="24"/>
  <c r="F34" i="24"/>
  <c r="C34" i="24"/>
  <c r="D34" i="24" s="1"/>
  <c r="Q33" i="24"/>
  <c r="C33" i="24"/>
  <c r="D33" i="24" s="1"/>
  <c r="Q32" i="24"/>
  <c r="C32" i="24"/>
  <c r="D32" i="24" s="1"/>
  <c r="Q31" i="24"/>
  <c r="D31" i="24"/>
  <c r="C31" i="24"/>
  <c r="Q30" i="24"/>
  <c r="C30" i="24"/>
  <c r="D30" i="24" s="1"/>
  <c r="Q29" i="24"/>
  <c r="D29" i="24"/>
  <c r="C29" i="24"/>
  <c r="Q28" i="24"/>
  <c r="C28" i="24"/>
  <c r="D28" i="24" s="1"/>
  <c r="Q27" i="24"/>
  <c r="D27" i="24"/>
  <c r="C27" i="24"/>
  <c r="Q26" i="24"/>
  <c r="C26" i="24"/>
  <c r="D26" i="24" s="1"/>
  <c r="S25" i="24"/>
  <c r="Q25" i="24"/>
  <c r="D25" i="24"/>
  <c r="C25" i="24"/>
  <c r="Q24" i="24"/>
  <c r="C24" i="24"/>
  <c r="D24" i="24" s="1"/>
  <c r="Q23" i="24"/>
  <c r="D23" i="24"/>
  <c r="C23" i="24"/>
  <c r="Q22" i="24"/>
  <c r="C22" i="24"/>
  <c r="D22" i="24" s="1"/>
  <c r="Q21" i="24"/>
  <c r="F21" i="24"/>
  <c r="D21" i="24"/>
  <c r="C21" i="24"/>
  <c r="Q20" i="24"/>
  <c r="F20" i="24"/>
  <c r="C20" i="24"/>
  <c r="D20" i="24" s="1"/>
  <c r="Q19" i="24"/>
  <c r="F19" i="24"/>
  <c r="D19" i="24"/>
  <c r="C19" i="24"/>
  <c r="Q18" i="24"/>
  <c r="F18" i="24"/>
  <c r="C18" i="24"/>
  <c r="D18" i="24" s="1"/>
  <c r="Q17" i="24"/>
  <c r="D17" i="24"/>
  <c r="C17" i="24"/>
  <c r="Q16" i="24"/>
  <c r="F17" i="24"/>
  <c r="C16" i="24"/>
  <c r="D16" i="24" s="1"/>
  <c r="S15" i="24"/>
  <c r="Q15" i="24"/>
  <c r="F15" i="24"/>
  <c r="D15" i="24"/>
  <c r="C15" i="24"/>
  <c r="Q14" i="24"/>
  <c r="F14" i="24"/>
  <c r="C14" i="24"/>
  <c r="D14" i="24" s="1"/>
  <c r="S13" i="24"/>
  <c r="Q13" i="24"/>
  <c r="F13" i="24"/>
  <c r="D13" i="24"/>
  <c r="C13" i="24"/>
  <c r="Q12" i="24"/>
  <c r="O12" i="24"/>
  <c r="N12" i="24"/>
  <c r="R12" i="24" s="1"/>
  <c r="K12" i="24"/>
  <c r="F12" i="24"/>
  <c r="D12" i="24"/>
  <c r="C12" i="24"/>
  <c r="S19" i="24"/>
  <c r="E12" i="23"/>
  <c r="F12" i="23" s="1"/>
  <c r="N52" i="23"/>
  <c r="Q51" i="23"/>
  <c r="D51" i="23"/>
  <c r="C51" i="23"/>
  <c r="Q50" i="23"/>
  <c r="C50" i="23"/>
  <c r="D50" i="23" s="1"/>
  <c r="Q49" i="23"/>
  <c r="D49" i="23"/>
  <c r="C49" i="23"/>
  <c r="Q48" i="23"/>
  <c r="D48" i="23"/>
  <c r="C48" i="23"/>
  <c r="Q47" i="23"/>
  <c r="D47" i="23"/>
  <c r="C47" i="23"/>
  <c r="Q46" i="23"/>
  <c r="C46" i="23"/>
  <c r="D46" i="23" s="1"/>
  <c r="Q45" i="23"/>
  <c r="D45" i="23"/>
  <c r="C45" i="23"/>
  <c r="Q44" i="23"/>
  <c r="D44" i="23"/>
  <c r="C44" i="23"/>
  <c r="Q43" i="23"/>
  <c r="D43" i="23"/>
  <c r="C43" i="23"/>
  <c r="Q42" i="23"/>
  <c r="C42" i="23"/>
  <c r="D42" i="23" s="1"/>
  <c r="Q41" i="23"/>
  <c r="D41" i="23"/>
  <c r="C41" i="23"/>
  <c r="Q40" i="23"/>
  <c r="D40" i="23"/>
  <c r="C40" i="23"/>
  <c r="Q39" i="23"/>
  <c r="D39" i="23"/>
  <c r="C39" i="23"/>
  <c r="Q38" i="23"/>
  <c r="C38" i="23"/>
  <c r="D38" i="23" s="1"/>
  <c r="Q37" i="23"/>
  <c r="D37" i="23"/>
  <c r="C37" i="23"/>
  <c r="Q36" i="23"/>
  <c r="D36" i="23"/>
  <c r="C36" i="23"/>
  <c r="Q35" i="23"/>
  <c r="C35" i="23"/>
  <c r="D35" i="23" s="1"/>
  <c r="Q34" i="23"/>
  <c r="C34" i="23"/>
  <c r="D34" i="23" s="1"/>
  <c r="Q33" i="23"/>
  <c r="D33" i="23"/>
  <c r="C33" i="23"/>
  <c r="Q32" i="23"/>
  <c r="D32" i="23"/>
  <c r="C32" i="23"/>
  <c r="Q31" i="23"/>
  <c r="C31" i="23"/>
  <c r="D31" i="23" s="1"/>
  <c r="Q30" i="23"/>
  <c r="D30" i="23"/>
  <c r="C30" i="23"/>
  <c r="Q29" i="23"/>
  <c r="C29" i="23"/>
  <c r="D29" i="23" s="1"/>
  <c r="Q28" i="23"/>
  <c r="D28" i="23"/>
  <c r="C28" i="23"/>
  <c r="Q27" i="23"/>
  <c r="C27" i="23"/>
  <c r="D27" i="23" s="1"/>
  <c r="Q26" i="23"/>
  <c r="D26" i="23"/>
  <c r="C26" i="23"/>
  <c r="Q25" i="23"/>
  <c r="C25" i="23"/>
  <c r="D25" i="23" s="1"/>
  <c r="Q24" i="23"/>
  <c r="D24" i="23"/>
  <c r="C24" i="23"/>
  <c r="Q23" i="23"/>
  <c r="C23" i="23"/>
  <c r="D23" i="23" s="1"/>
  <c r="Q22" i="23"/>
  <c r="D22" i="23"/>
  <c r="C22" i="23"/>
  <c r="Q21" i="23"/>
  <c r="C21" i="23"/>
  <c r="D21" i="23" s="1"/>
  <c r="Q20" i="23"/>
  <c r="D20" i="23"/>
  <c r="C20" i="23"/>
  <c r="Q19" i="23"/>
  <c r="C19" i="23"/>
  <c r="D19" i="23" s="1"/>
  <c r="Q18" i="23"/>
  <c r="D18" i="23"/>
  <c r="C18" i="23"/>
  <c r="Q17" i="23"/>
  <c r="C17" i="23"/>
  <c r="D17" i="23" s="1"/>
  <c r="Q16" i="23"/>
  <c r="D16" i="23"/>
  <c r="C16" i="23"/>
  <c r="Q15" i="23"/>
  <c r="C15" i="23"/>
  <c r="D15" i="23" s="1"/>
  <c r="Q14" i="23"/>
  <c r="C14" i="23"/>
  <c r="D14" i="23" s="1"/>
  <c r="Q13" i="23"/>
  <c r="C13" i="23"/>
  <c r="D13" i="23" s="1"/>
  <c r="Q12" i="23"/>
  <c r="O12" i="23"/>
  <c r="N12" i="23"/>
  <c r="R12" i="23" s="1"/>
  <c r="C12" i="23"/>
  <c r="N52" i="22"/>
  <c r="Q51" i="22"/>
  <c r="C51" i="22"/>
  <c r="D51" i="22" s="1"/>
  <c r="Q50" i="22"/>
  <c r="C50" i="22"/>
  <c r="D50" i="22" s="1"/>
  <c r="Q49" i="22"/>
  <c r="C49" i="22"/>
  <c r="D49" i="22" s="1"/>
  <c r="Q48" i="22"/>
  <c r="C48" i="22"/>
  <c r="D48" i="22" s="1"/>
  <c r="Q47" i="22"/>
  <c r="C47" i="22"/>
  <c r="D47" i="22" s="1"/>
  <c r="Q46" i="22"/>
  <c r="C46" i="22"/>
  <c r="D46" i="22" s="1"/>
  <c r="Q45" i="22"/>
  <c r="C45" i="22"/>
  <c r="D45" i="22" s="1"/>
  <c r="Q44" i="22"/>
  <c r="C44" i="22"/>
  <c r="D44" i="22" s="1"/>
  <c r="Q43" i="22"/>
  <c r="C43" i="22"/>
  <c r="D43" i="22" s="1"/>
  <c r="Q42" i="22"/>
  <c r="C42" i="22"/>
  <c r="D42" i="22" s="1"/>
  <c r="Q41" i="22"/>
  <c r="C41" i="22"/>
  <c r="D41" i="22" s="1"/>
  <c r="Q40" i="22"/>
  <c r="C40" i="22"/>
  <c r="D40" i="22" s="1"/>
  <c r="Q39" i="22"/>
  <c r="C39" i="22"/>
  <c r="D39" i="22" s="1"/>
  <c r="Q38" i="22"/>
  <c r="C38" i="22"/>
  <c r="D38" i="22" s="1"/>
  <c r="Q37" i="22"/>
  <c r="C37" i="22"/>
  <c r="D37" i="22" s="1"/>
  <c r="Q36" i="22"/>
  <c r="C36" i="22"/>
  <c r="D36" i="22" s="1"/>
  <c r="Q35" i="22"/>
  <c r="C35" i="22"/>
  <c r="D35" i="22" s="1"/>
  <c r="Q34" i="22"/>
  <c r="C34" i="22"/>
  <c r="D34" i="22" s="1"/>
  <c r="Q33" i="22"/>
  <c r="C33" i="22"/>
  <c r="D33" i="22" s="1"/>
  <c r="Q32" i="22"/>
  <c r="C32" i="22"/>
  <c r="D32" i="22" s="1"/>
  <c r="Q31" i="22"/>
  <c r="C31" i="22"/>
  <c r="D31" i="22" s="1"/>
  <c r="Q30" i="22"/>
  <c r="C30" i="22"/>
  <c r="D30" i="22" s="1"/>
  <c r="Q29" i="22"/>
  <c r="C29" i="22"/>
  <c r="D29" i="22" s="1"/>
  <c r="Q28" i="22"/>
  <c r="C28" i="22"/>
  <c r="D28" i="22" s="1"/>
  <c r="Q27" i="22"/>
  <c r="C27" i="22"/>
  <c r="D27" i="22" s="1"/>
  <c r="Q26" i="22"/>
  <c r="C26" i="22"/>
  <c r="D26" i="22" s="1"/>
  <c r="Q25" i="22"/>
  <c r="C25" i="22"/>
  <c r="D25" i="22" s="1"/>
  <c r="Q24" i="22"/>
  <c r="C24" i="22"/>
  <c r="D24" i="22" s="1"/>
  <c r="Q23" i="22"/>
  <c r="C23" i="22"/>
  <c r="D23" i="22" s="1"/>
  <c r="Q22" i="22"/>
  <c r="C22" i="22"/>
  <c r="D22" i="22" s="1"/>
  <c r="Q21" i="22"/>
  <c r="C21" i="22"/>
  <c r="D21" i="22" s="1"/>
  <c r="Q20" i="22"/>
  <c r="C20" i="22"/>
  <c r="D20" i="22" s="1"/>
  <c r="Q19" i="22"/>
  <c r="C19" i="22"/>
  <c r="D19" i="22" s="1"/>
  <c r="Q18" i="22"/>
  <c r="C18" i="22"/>
  <c r="D18" i="22" s="1"/>
  <c r="Q17" i="22"/>
  <c r="C17" i="22"/>
  <c r="D17" i="22" s="1"/>
  <c r="Q16" i="22"/>
  <c r="C16" i="22"/>
  <c r="D16" i="22" s="1"/>
  <c r="Q15" i="22"/>
  <c r="C15" i="22"/>
  <c r="D15" i="22" s="1"/>
  <c r="Q14" i="22"/>
  <c r="C14" i="22"/>
  <c r="D14" i="22" s="1"/>
  <c r="Q13" i="22"/>
  <c r="C13" i="22"/>
  <c r="D13" i="22" s="1"/>
  <c r="Q12" i="22"/>
  <c r="O12" i="22"/>
  <c r="N12" i="22"/>
  <c r="R12" i="22" s="1"/>
  <c r="D12" i="22"/>
  <c r="C12" i="22"/>
  <c r="K12" i="22" s="1"/>
  <c r="L28" i="30" l="1"/>
  <c r="L26" i="30"/>
  <c r="J50" i="28"/>
  <c r="J49" i="28"/>
  <c r="J15" i="28"/>
  <c r="H36" i="22"/>
  <c r="J42" i="28"/>
  <c r="I51" i="26"/>
  <c r="M52" i="26" s="1"/>
  <c r="N52" i="26" s="1"/>
  <c r="M13" i="26"/>
  <c r="P51" i="26"/>
  <c r="H21" i="24"/>
  <c r="J45" i="28"/>
  <c r="J40" i="28"/>
  <c r="M17" i="28"/>
  <c r="M21" i="28"/>
  <c r="M25" i="28"/>
  <c r="M29" i="28"/>
  <c r="M33" i="28"/>
  <c r="M37" i="28"/>
  <c r="M41" i="28"/>
  <c r="M45" i="28"/>
  <c r="M49" i="28"/>
  <c r="M13" i="28"/>
  <c r="M14" i="28"/>
  <c r="M18" i="28"/>
  <c r="M22" i="28"/>
  <c r="M26" i="28"/>
  <c r="M30" i="28"/>
  <c r="M34" i="28"/>
  <c r="M38" i="28"/>
  <c r="M42" i="28"/>
  <c r="M46" i="28"/>
  <c r="M50" i="28"/>
  <c r="M15" i="28"/>
  <c r="M19" i="28"/>
  <c r="M23" i="28"/>
  <c r="M27" i="28"/>
  <c r="M31" i="28"/>
  <c r="M35" i="28"/>
  <c r="M39" i="28"/>
  <c r="M43" i="28"/>
  <c r="M47" i="28"/>
  <c r="M51" i="28"/>
  <c r="M20" i="28"/>
  <c r="M36" i="28"/>
  <c r="M52" i="28"/>
  <c r="N52" i="28" s="1"/>
  <c r="M24" i="28"/>
  <c r="M40" i="28"/>
  <c r="M28" i="28"/>
  <c r="M44" i="28"/>
  <c r="M16" i="28"/>
  <c r="M32" i="28"/>
  <c r="M48" i="28"/>
  <c r="J20" i="28"/>
  <c r="J31" i="28"/>
  <c r="J21" i="28"/>
  <c r="J43" i="28"/>
  <c r="J35" i="28"/>
  <c r="J24" i="28"/>
  <c r="J37" i="28"/>
  <c r="X12" i="28"/>
  <c r="W12" i="28"/>
  <c r="L36" i="28"/>
  <c r="J30" i="28"/>
  <c r="L45" i="28"/>
  <c r="J26" i="28"/>
  <c r="L41" i="28"/>
  <c r="J23" i="28"/>
  <c r="L15" i="28"/>
  <c r="J36" i="28"/>
  <c r="L31" i="28"/>
  <c r="L33" i="28"/>
  <c r="L32" i="28"/>
  <c r="J28" i="28"/>
  <c r="J27" i="28"/>
  <c r="L29" i="28"/>
  <c r="L50" i="28"/>
  <c r="J47" i="28"/>
  <c r="L23" i="28"/>
  <c r="L25" i="28"/>
  <c r="L16" i="28"/>
  <c r="L34" i="28"/>
  <c r="L17" i="28"/>
  <c r="J18" i="28"/>
  <c r="L21" i="28"/>
  <c r="L51" i="28"/>
  <c r="L14" i="28"/>
  <c r="L47" i="28"/>
  <c r="J22" i="28"/>
  <c r="J38" i="28"/>
  <c r="L13" i="28"/>
  <c r="L42" i="28"/>
  <c r="J34" i="28"/>
  <c r="L39" i="28"/>
  <c r="J33" i="28"/>
  <c r="J32" i="28"/>
  <c r="J41" i="28"/>
  <c r="L48" i="28"/>
  <c r="L27" i="28"/>
  <c r="J29" i="28"/>
  <c r="J19" i="28"/>
  <c r="L19" i="28"/>
  <c r="L37" i="28"/>
  <c r="L44" i="28"/>
  <c r="L46" i="28"/>
  <c r="J25" i="28"/>
  <c r="J16" i="28"/>
  <c r="J13" i="28"/>
  <c r="L40" i="28"/>
  <c r="L38" i="28"/>
  <c r="L28" i="28"/>
  <c r="L49" i="28"/>
  <c r="J39" i="28"/>
  <c r="L30" i="28"/>
  <c r="J17" i="28"/>
  <c r="L24" i="28"/>
  <c r="L18" i="28"/>
  <c r="L20" i="28"/>
  <c r="J48" i="28"/>
  <c r="L35" i="28"/>
  <c r="L26" i="28"/>
  <c r="J14" i="28"/>
  <c r="L43" i="28"/>
  <c r="J44" i="28"/>
  <c r="J46" i="28"/>
  <c r="L22" i="28"/>
  <c r="K13" i="26"/>
  <c r="I12" i="26"/>
  <c r="K16" i="26"/>
  <c r="I15" i="26"/>
  <c r="M16" i="26" s="1"/>
  <c r="K20" i="26"/>
  <c r="I19" i="26"/>
  <c r="M20" i="26" s="1"/>
  <c r="I41" i="26"/>
  <c r="M42" i="26" s="1"/>
  <c r="K42" i="26"/>
  <c r="I49" i="26"/>
  <c r="M50" i="26" s="1"/>
  <c r="K50" i="26"/>
  <c r="I31" i="26"/>
  <c r="M32" i="26" s="1"/>
  <c r="K32" i="26"/>
  <c r="I30" i="26"/>
  <c r="M31" i="26" s="1"/>
  <c r="K31" i="26"/>
  <c r="I39" i="26"/>
  <c r="M40" i="26" s="1"/>
  <c r="K40" i="26"/>
  <c r="K17" i="26"/>
  <c r="I16" i="26"/>
  <c r="M17" i="26" s="1"/>
  <c r="K21" i="26"/>
  <c r="I20" i="26"/>
  <c r="M21" i="26" s="1"/>
  <c r="K25" i="26"/>
  <c r="I24" i="26"/>
  <c r="M25" i="26" s="1"/>
  <c r="I37" i="26"/>
  <c r="M38" i="26" s="1"/>
  <c r="K38" i="26"/>
  <c r="I42" i="26"/>
  <c r="M43" i="26" s="1"/>
  <c r="K43" i="26"/>
  <c r="I46" i="26"/>
  <c r="M47" i="26" s="1"/>
  <c r="K47" i="26"/>
  <c r="I50" i="26"/>
  <c r="M51" i="26" s="1"/>
  <c r="K51" i="26"/>
  <c r="I26" i="26"/>
  <c r="M27" i="26" s="1"/>
  <c r="K27" i="26"/>
  <c r="K24" i="26"/>
  <c r="I23" i="26"/>
  <c r="M24" i="26" s="1"/>
  <c r="I32" i="26"/>
  <c r="M33" i="26" s="1"/>
  <c r="K33" i="26"/>
  <c r="I45" i="26"/>
  <c r="M46" i="26" s="1"/>
  <c r="K46" i="26"/>
  <c r="I35" i="26"/>
  <c r="M36" i="26" s="1"/>
  <c r="K36" i="26"/>
  <c r="K35" i="26"/>
  <c r="I34" i="26"/>
  <c r="M35" i="26" s="1"/>
  <c r="K14" i="26"/>
  <c r="I13" i="26"/>
  <c r="M14" i="26" s="1"/>
  <c r="K18" i="26"/>
  <c r="I17" i="26"/>
  <c r="M18" i="26" s="1"/>
  <c r="K22" i="26"/>
  <c r="I21" i="26"/>
  <c r="M22" i="26" s="1"/>
  <c r="K26" i="26"/>
  <c r="I25" i="26"/>
  <c r="M26" i="26" s="1"/>
  <c r="I36" i="26"/>
  <c r="M37" i="26" s="1"/>
  <c r="K37" i="26"/>
  <c r="I43" i="26"/>
  <c r="M44" i="26" s="1"/>
  <c r="K44" i="26"/>
  <c r="I47" i="26"/>
  <c r="M48" i="26" s="1"/>
  <c r="K48" i="26"/>
  <c r="I33" i="26"/>
  <c r="M34" i="26" s="1"/>
  <c r="K34" i="26"/>
  <c r="I27" i="26"/>
  <c r="M28" i="26" s="1"/>
  <c r="K28" i="26"/>
  <c r="I38" i="26"/>
  <c r="M39" i="26" s="1"/>
  <c r="K39" i="26"/>
  <c r="I29" i="26"/>
  <c r="M30" i="26" s="1"/>
  <c r="K30" i="26"/>
  <c r="K15" i="26"/>
  <c r="I14" i="26"/>
  <c r="M15" i="26" s="1"/>
  <c r="K19" i="26"/>
  <c r="I18" i="26"/>
  <c r="M19" i="26" s="1"/>
  <c r="K23" i="26"/>
  <c r="I22" i="26"/>
  <c r="M23" i="26" s="1"/>
  <c r="I28" i="26"/>
  <c r="M29" i="26" s="1"/>
  <c r="K29" i="26"/>
  <c r="I40" i="26"/>
  <c r="M41" i="26" s="1"/>
  <c r="K41" i="26"/>
  <c r="I44" i="26"/>
  <c r="M45" i="26" s="1"/>
  <c r="K45" i="26"/>
  <c r="I48" i="26"/>
  <c r="M49" i="26" s="1"/>
  <c r="K49" i="26"/>
  <c r="S29" i="24"/>
  <c r="F28" i="24"/>
  <c r="F24" i="24"/>
  <c r="I21" i="24"/>
  <c r="L12" i="24"/>
  <c r="H17" i="24"/>
  <c r="H35" i="24"/>
  <c r="S12" i="24"/>
  <c r="H14" i="24"/>
  <c r="F16" i="24"/>
  <c r="S16" i="24"/>
  <c r="S18" i="24"/>
  <c r="H19" i="24"/>
  <c r="H41" i="24"/>
  <c r="H12" i="24"/>
  <c r="H23" i="24"/>
  <c r="P12" i="24"/>
  <c r="H15" i="24"/>
  <c r="H48" i="24"/>
  <c r="H44" i="24"/>
  <c r="H40" i="24"/>
  <c r="H36" i="24"/>
  <c r="H51" i="24"/>
  <c r="I51" i="24" s="1"/>
  <c r="H47" i="24"/>
  <c r="H43" i="24"/>
  <c r="H39" i="24"/>
  <c r="H50" i="24"/>
  <c r="H46" i="24"/>
  <c r="H42" i="24"/>
  <c r="H38" i="24"/>
  <c r="H34" i="24"/>
  <c r="H45" i="24"/>
  <c r="H30" i="24"/>
  <c r="H26" i="24"/>
  <c r="H22" i="24"/>
  <c r="H18" i="24"/>
  <c r="H49" i="24"/>
  <c r="H33" i="24"/>
  <c r="H29" i="24"/>
  <c r="H25" i="24"/>
  <c r="H37" i="24"/>
  <c r="H32" i="24"/>
  <c r="H28" i="24"/>
  <c r="H24" i="24"/>
  <c r="H20" i="24"/>
  <c r="H13" i="24"/>
  <c r="H27" i="24"/>
  <c r="H31" i="24"/>
  <c r="S50" i="24"/>
  <c r="S46" i="24"/>
  <c r="S42" i="24"/>
  <c r="S38" i="24"/>
  <c r="S34" i="24"/>
  <c r="S49" i="24"/>
  <c r="S45" i="24"/>
  <c r="S41" i="24"/>
  <c r="S37" i="24"/>
  <c r="S48" i="24"/>
  <c r="S44" i="24"/>
  <c r="S40" i="24"/>
  <c r="S36" i="24"/>
  <c r="S43" i="24"/>
  <c r="S32" i="24"/>
  <c r="S28" i="24"/>
  <c r="S24" i="24"/>
  <c r="S20" i="24"/>
  <c r="S47" i="24"/>
  <c r="S31" i="24"/>
  <c r="S27" i="24"/>
  <c r="S23" i="24"/>
  <c r="S51" i="24"/>
  <c r="S35" i="24"/>
  <c r="S33" i="24"/>
  <c r="S30" i="24"/>
  <c r="S26" i="24"/>
  <c r="S22" i="24"/>
  <c r="S14" i="24"/>
  <c r="H16" i="24"/>
  <c r="S21" i="24"/>
  <c r="F23" i="24"/>
  <c r="F22" i="24"/>
  <c r="F27" i="24"/>
  <c r="F26" i="24"/>
  <c r="F31" i="24"/>
  <c r="F30" i="24"/>
  <c r="F37" i="24"/>
  <c r="F36" i="24"/>
  <c r="F49" i="24"/>
  <c r="F48" i="24"/>
  <c r="F45" i="24"/>
  <c r="F44" i="24"/>
  <c r="F35" i="24"/>
  <c r="F41" i="24"/>
  <c r="F40" i="24"/>
  <c r="G12" i="23"/>
  <c r="K12" i="23"/>
  <c r="D12" i="23"/>
  <c r="P12" i="22"/>
  <c r="H25" i="22"/>
  <c r="H33" i="22"/>
  <c r="H40" i="22"/>
  <c r="H24" i="22"/>
  <c r="H28" i="22"/>
  <c r="H32" i="22"/>
  <c r="H51" i="22"/>
  <c r="H50" i="22"/>
  <c r="H49" i="22"/>
  <c r="H45" i="22"/>
  <c r="H41" i="22"/>
  <c r="H37" i="22"/>
  <c r="H46" i="22"/>
  <c r="H42" i="22"/>
  <c r="H38" i="22"/>
  <c r="H47" i="22"/>
  <c r="H43" i="22"/>
  <c r="H39" i="22"/>
  <c r="H29" i="22"/>
  <c r="H15" i="22"/>
  <c r="H16" i="22"/>
  <c r="H17" i="22"/>
  <c r="H18" i="22"/>
  <c r="H19" i="22"/>
  <c r="H20" i="22"/>
  <c r="H21" i="22"/>
  <c r="H22" i="22"/>
  <c r="H23" i="22"/>
  <c r="H27" i="22"/>
  <c r="H31" i="22"/>
  <c r="H35" i="22"/>
  <c r="H48" i="22"/>
  <c r="H13" i="22"/>
  <c r="H14" i="22"/>
  <c r="H12" i="22"/>
  <c r="H26" i="22"/>
  <c r="H30" i="22"/>
  <c r="H34" i="22"/>
  <c r="H44" i="22"/>
  <c r="N36" i="28" l="1"/>
  <c r="N50" i="28"/>
  <c r="R36" i="28"/>
  <c r="T36" i="28" s="1"/>
  <c r="U36" i="28" s="1"/>
  <c r="V36" i="28" s="1"/>
  <c r="R50" i="28"/>
  <c r="T50" i="28" s="1"/>
  <c r="U50" i="28" s="1"/>
  <c r="V50" i="28" s="1"/>
  <c r="N47" i="28"/>
  <c r="N22" i="28"/>
  <c r="N33" i="28"/>
  <c r="N37" i="28"/>
  <c r="N39" i="28"/>
  <c r="N28" i="28"/>
  <c r="N40" i="28"/>
  <c r="N13" i="28"/>
  <c r="N14" i="28"/>
  <c r="N35" i="28"/>
  <c r="N26" i="28"/>
  <c r="N34" i="28"/>
  <c r="N42" i="28"/>
  <c r="N19" i="28"/>
  <c r="N43" i="28"/>
  <c r="N15" i="28"/>
  <c r="N30" i="28"/>
  <c r="N46" i="28"/>
  <c r="N27" i="28"/>
  <c r="N31" i="28"/>
  <c r="N45" i="28"/>
  <c r="N20" i="28"/>
  <c r="N48" i="28"/>
  <c r="N18" i="28"/>
  <c r="N24" i="28"/>
  <c r="N51" i="28"/>
  <c r="N16" i="28"/>
  <c r="N49" i="28"/>
  <c r="N23" i="28"/>
  <c r="N44" i="28"/>
  <c r="N21" i="28"/>
  <c r="N25" i="28"/>
  <c r="N29" i="28"/>
  <c r="N41" i="28"/>
  <c r="N38" i="28"/>
  <c r="N17" i="28"/>
  <c r="N32" i="28"/>
  <c r="L23" i="26"/>
  <c r="L15" i="26"/>
  <c r="L22" i="26"/>
  <c r="L14" i="26"/>
  <c r="L25" i="26"/>
  <c r="L17" i="26"/>
  <c r="L16" i="26"/>
  <c r="L19" i="26"/>
  <c r="L26" i="26"/>
  <c r="L18" i="26"/>
  <c r="L35" i="26"/>
  <c r="L24" i="26"/>
  <c r="L21" i="26"/>
  <c r="L20" i="26"/>
  <c r="L13" i="26"/>
  <c r="L49" i="26"/>
  <c r="L45" i="26"/>
  <c r="L41" i="26"/>
  <c r="L29" i="26"/>
  <c r="L30" i="26"/>
  <c r="L39" i="26"/>
  <c r="L28" i="26"/>
  <c r="L34" i="26"/>
  <c r="L48" i="26"/>
  <c r="L44" i="26"/>
  <c r="L37" i="26"/>
  <c r="L36" i="26"/>
  <c r="L46" i="26"/>
  <c r="L33" i="26"/>
  <c r="L27" i="26"/>
  <c r="L51" i="26"/>
  <c r="L47" i="26"/>
  <c r="L43" i="26"/>
  <c r="L38" i="26"/>
  <c r="L40" i="26"/>
  <c r="L31" i="26"/>
  <c r="L32" i="26"/>
  <c r="L50" i="26"/>
  <c r="L42" i="26"/>
  <c r="I31" i="24"/>
  <c r="K32" i="24"/>
  <c r="I25" i="24"/>
  <c r="K26" i="24"/>
  <c r="K19" i="24"/>
  <c r="I18" i="24"/>
  <c r="I47" i="24"/>
  <c r="K48" i="24"/>
  <c r="I15" i="24"/>
  <c r="K16" i="24"/>
  <c r="K17" i="24"/>
  <c r="I16" i="24"/>
  <c r="I28" i="24"/>
  <c r="K29" i="24"/>
  <c r="I29" i="24"/>
  <c r="K30" i="24"/>
  <c r="K23" i="24"/>
  <c r="I22" i="24"/>
  <c r="K35" i="24"/>
  <c r="I34" i="24"/>
  <c r="I50" i="24"/>
  <c r="J51" i="24" s="1"/>
  <c r="K51" i="24"/>
  <c r="K49" i="24"/>
  <c r="I48" i="24"/>
  <c r="I35" i="24"/>
  <c r="K36" i="24"/>
  <c r="K18" i="24"/>
  <c r="I17" i="24"/>
  <c r="K22" i="24"/>
  <c r="I46" i="24"/>
  <c r="K47" i="24"/>
  <c r="I27" i="24"/>
  <c r="K28" i="24"/>
  <c r="K14" i="24"/>
  <c r="I13" i="24"/>
  <c r="I32" i="24"/>
  <c r="K33" i="24"/>
  <c r="I33" i="24"/>
  <c r="K34" i="24"/>
  <c r="K27" i="24"/>
  <c r="I26" i="24"/>
  <c r="I38" i="24"/>
  <c r="K39" i="24"/>
  <c r="I39" i="24"/>
  <c r="K40" i="24"/>
  <c r="K37" i="24"/>
  <c r="I36" i="24"/>
  <c r="I41" i="24"/>
  <c r="K42" i="24"/>
  <c r="I19" i="24"/>
  <c r="K20" i="24"/>
  <c r="T12" i="24"/>
  <c r="U12" i="24" s="1"/>
  <c r="V12" i="24" s="1"/>
  <c r="I24" i="24"/>
  <c r="K25" i="24"/>
  <c r="I45" i="24"/>
  <c r="K46" i="24"/>
  <c r="K45" i="24"/>
  <c r="I44" i="24"/>
  <c r="K13" i="24"/>
  <c r="I12" i="24"/>
  <c r="K21" i="24"/>
  <c r="I20" i="24"/>
  <c r="I37" i="24"/>
  <c r="K38" i="24"/>
  <c r="I49" i="24"/>
  <c r="J49" i="24" s="1"/>
  <c r="K50" i="24"/>
  <c r="K31" i="24"/>
  <c r="I30" i="24"/>
  <c r="I42" i="24"/>
  <c r="K43" i="24"/>
  <c r="I43" i="24"/>
  <c r="K44" i="24"/>
  <c r="K41" i="24"/>
  <c r="I40" i="24"/>
  <c r="I23" i="24"/>
  <c r="K24" i="24"/>
  <c r="I14" i="24"/>
  <c r="K15" i="24"/>
  <c r="P12" i="23"/>
  <c r="L12" i="23"/>
  <c r="H48" i="23"/>
  <c r="H44" i="23"/>
  <c r="H40" i="23"/>
  <c r="H36" i="23"/>
  <c r="H51" i="23"/>
  <c r="H47" i="23"/>
  <c r="H43" i="23"/>
  <c r="H39" i="23"/>
  <c r="H35" i="23"/>
  <c r="H50" i="23"/>
  <c r="H46" i="23"/>
  <c r="H42" i="23"/>
  <c r="H38" i="23"/>
  <c r="H34" i="23"/>
  <c r="H45" i="23"/>
  <c r="H29" i="23"/>
  <c r="H25" i="23"/>
  <c r="H21" i="23"/>
  <c r="H49" i="23"/>
  <c r="H37" i="23"/>
  <c r="H33" i="23"/>
  <c r="H31" i="23"/>
  <c r="H27" i="23"/>
  <c r="H23" i="23"/>
  <c r="H20" i="23"/>
  <c r="H19" i="23"/>
  <c r="H15" i="23"/>
  <c r="H32" i="23"/>
  <c r="H30" i="23"/>
  <c r="H28" i="23"/>
  <c r="H17" i="23"/>
  <c r="H13" i="23"/>
  <c r="H12" i="23"/>
  <c r="H22" i="23"/>
  <c r="H16" i="23"/>
  <c r="H14" i="23"/>
  <c r="H24" i="23"/>
  <c r="H26" i="23"/>
  <c r="H41" i="23"/>
  <c r="H18" i="23"/>
  <c r="K27" i="22"/>
  <c r="K36" i="22"/>
  <c r="K24" i="22"/>
  <c r="K20" i="22"/>
  <c r="K16" i="22"/>
  <c r="K40" i="22"/>
  <c r="K43" i="22"/>
  <c r="K46" i="22"/>
  <c r="K25" i="22"/>
  <c r="K45" i="22"/>
  <c r="K31" i="22"/>
  <c r="K15" i="22"/>
  <c r="K28" i="22"/>
  <c r="K23" i="22"/>
  <c r="K19" i="22"/>
  <c r="K44" i="22"/>
  <c r="K47" i="22"/>
  <c r="K50" i="22"/>
  <c r="K29" i="22"/>
  <c r="K34" i="22"/>
  <c r="K35" i="22"/>
  <c r="K14" i="22"/>
  <c r="K32" i="22"/>
  <c r="K22" i="22"/>
  <c r="K18" i="22"/>
  <c r="K48" i="22"/>
  <c r="K38" i="22"/>
  <c r="K51" i="22"/>
  <c r="K33" i="22"/>
  <c r="K26" i="22"/>
  <c r="K37" i="22"/>
  <c r="K13" i="22"/>
  <c r="K49" i="22"/>
  <c r="K21" i="22"/>
  <c r="K17" i="22"/>
  <c r="K30" i="22"/>
  <c r="K39" i="22"/>
  <c r="K42" i="22"/>
  <c r="K41" i="22"/>
  <c r="L12" i="21"/>
  <c r="G51" i="21"/>
  <c r="G50" i="21"/>
  <c r="G49" i="21"/>
  <c r="G48" i="21"/>
  <c r="G21" i="21"/>
  <c r="G20" i="21"/>
  <c r="G19" i="21"/>
  <c r="G18" i="21"/>
  <c r="D49" i="21"/>
  <c r="D17" i="21"/>
  <c r="D16" i="21"/>
  <c r="C50" i="21"/>
  <c r="C21" i="21"/>
  <c r="C20" i="21"/>
  <c r="C15" i="21"/>
  <c r="J27" i="24" l="1"/>
  <c r="J30" i="24"/>
  <c r="J40" i="24"/>
  <c r="J33" i="24"/>
  <c r="J28" i="24"/>
  <c r="J18" i="24"/>
  <c r="J35" i="24"/>
  <c r="J24" i="24"/>
  <c r="J29" i="24"/>
  <c r="J44" i="24"/>
  <c r="J38" i="24"/>
  <c r="J37" i="24"/>
  <c r="J48" i="24"/>
  <c r="J26" i="24"/>
  <c r="J16" i="24"/>
  <c r="J41" i="24"/>
  <c r="J21" i="24"/>
  <c r="J45" i="24"/>
  <c r="J20" i="24"/>
  <c r="J36" i="24"/>
  <c r="J34" i="24"/>
  <c r="J46" i="24"/>
  <c r="J22" i="24"/>
  <c r="J19" i="24"/>
  <c r="J43" i="24"/>
  <c r="J39" i="24"/>
  <c r="J32" i="24"/>
  <c r="J23" i="24"/>
  <c r="J42" i="24"/>
  <c r="J50" i="24"/>
  <c r="J47" i="24"/>
  <c r="J15" i="24"/>
  <c r="J14" i="24"/>
  <c r="J31" i="24"/>
  <c r="J25" i="24"/>
  <c r="J17" i="24"/>
  <c r="J13" i="24"/>
  <c r="X36" i="28"/>
  <c r="W36" i="28"/>
  <c r="R38" i="28"/>
  <c r="T38" i="28" s="1"/>
  <c r="U38" i="28" s="1"/>
  <c r="V38" i="28" s="1"/>
  <c r="W50" i="28"/>
  <c r="X50" i="28"/>
  <c r="R41" i="28"/>
  <c r="T41" i="28" s="1"/>
  <c r="U41" i="28" s="1"/>
  <c r="V41" i="28" s="1"/>
  <c r="R44" i="28"/>
  <c r="T44" i="28" s="1"/>
  <c r="U44" i="28" s="1"/>
  <c r="V44" i="28" s="1"/>
  <c r="R16" i="28"/>
  <c r="T16" i="28" s="1"/>
  <c r="U16" i="28" s="1"/>
  <c r="V16" i="28" s="1"/>
  <c r="R48" i="28"/>
  <c r="T48" i="28" s="1"/>
  <c r="U48" i="28" s="1"/>
  <c r="V48" i="28" s="1"/>
  <c r="R27" i="28"/>
  <c r="T27" i="28" s="1"/>
  <c r="U27" i="28" s="1"/>
  <c r="V27" i="28" s="1"/>
  <c r="R43" i="28"/>
  <c r="T43" i="28" s="1"/>
  <c r="U43" i="28" s="1"/>
  <c r="V43" i="28" s="1"/>
  <c r="R26" i="28"/>
  <c r="T26" i="28" s="1"/>
  <c r="U26" i="28" s="1"/>
  <c r="V26" i="28" s="1"/>
  <c r="R40" i="28"/>
  <c r="T40" i="28" s="1"/>
  <c r="U40" i="28" s="1"/>
  <c r="V40" i="28" s="1"/>
  <c r="R33" i="28"/>
  <c r="T33" i="28" s="1"/>
  <c r="U33" i="28" s="1"/>
  <c r="V33" i="28" s="1"/>
  <c r="R21" i="28"/>
  <c r="T21" i="28" s="1"/>
  <c r="U21" i="28" s="1"/>
  <c r="V21" i="28" s="1"/>
  <c r="R31" i="28"/>
  <c r="T31" i="28" s="1"/>
  <c r="U31" i="28" s="1"/>
  <c r="V31" i="28" s="1"/>
  <c r="R34" i="28"/>
  <c r="T34" i="28" s="1"/>
  <c r="U34" i="28" s="1"/>
  <c r="V34" i="28" s="1"/>
  <c r="R37" i="28"/>
  <c r="T37" i="28" s="1"/>
  <c r="U37" i="28" s="1"/>
  <c r="V37" i="28" s="1"/>
  <c r="R32" i="28"/>
  <c r="T32" i="28" s="1"/>
  <c r="U32" i="28" s="1"/>
  <c r="V32" i="28" s="1"/>
  <c r="R29" i="28"/>
  <c r="T29" i="28" s="1"/>
  <c r="U29" i="28" s="1"/>
  <c r="V29" i="28" s="1"/>
  <c r="R23" i="28"/>
  <c r="T23" i="28" s="1"/>
  <c r="U23" i="28" s="1"/>
  <c r="V23" i="28" s="1"/>
  <c r="R51" i="28"/>
  <c r="T51" i="28" s="1"/>
  <c r="U51" i="28" s="1"/>
  <c r="V51" i="28" s="1"/>
  <c r="R20" i="28"/>
  <c r="T20" i="28" s="1"/>
  <c r="U20" i="28" s="1"/>
  <c r="V20" i="28" s="1"/>
  <c r="R46" i="28"/>
  <c r="T46" i="28" s="1"/>
  <c r="U46" i="28" s="1"/>
  <c r="V46" i="28" s="1"/>
  <c r="R19" i="28"/>
  <c r="T19" i="28" s="1"/>
  <c r="U19" i="28" s="1"/>
  <c r="V19" i="28" s="1"/>
  <c r="R35" i="28"/>
  <c r="T35" i="28" s="1"/>
  <c r="U35" i="28" s="1"/>
  <c r="V35" i="28" s="1"/>
  <c r="R28" i="28"/>
  <c r="T28" i="28" s="1"/>
  <c r="U28" i="28" s="1"/>
  <c r="V28" i="28" s="1"/>
  <c r="R22" i="28"/>
  <c r="T22" i="28" s="1"/>
  <c r="U22" i="28" s="1"/>
  <c r="V22" i="28" s="1"/>
  <c r="R18" i="28"/>
  <c r="T18" i="28" s="1"/>
  <c r="U18" i="28" s="1"/>
  <c r="V18" i="28" s="1"/>
  <c r="R15" i="28"/>
  <c r="T15" i="28" s="1"/>
  <c r="U15" i="28" s="1"/>
  <c r="V15" i="28" s="1"/>
  <c r="R13" i="28"/>
  <c r="T13" i="28" s="1"/>
  <c r="U13" i="28" s="1"/>
  <c r="V13" i="28" s="1"/>
  <c r="R17" i="28"/>
  <c r="T17" i="28" s="1"/>
  <c r="U17" i="28" s="1"/>
  <c r="V17" i="28" s="1"/>
  <c r="R25" i="28"/>
  <c r="T25" i="28" s="1"/>
  <c r="U25" i="28" s="1"/>
  <c r="V25" i="28" s="1"/>
  <c r="R49" i="28"/>
  <c r="T49" i="28" s="1"/>
  <c r="U49" i="28" s="1"/>
  <c r="V49" i="28" s="1"/>
  <c r="R24" i="28"/>
  <c r="T24" i="28" s="1"/>
  <c r="U24" i="28" s="1"/>
  <c r="V24" i="28" s="1"/>
  <c r="R45" i="28"/>
  <c r="T45" i="28" s="1"/>
  <c r="U45" i="28" s="1"/>
  <c r="V45" i="28" s="1"/>
  <c r="R30" i="28"/>
  <c r="T30" i="28" s="1"/>
  <c r="U30" i="28" s="1"/>
  <c r="V30" i="28" s="1"/>
  <c r="R42" i="28"/>
  <c r="T42" i="28" s="1"/>
  <c r="U42" i="28" s="1"/>
  <c r="V42" i="28" s="1"/>
  <c r="R14" i="28"/>
  <c r="T14" i="28" s="1"/>
  <c r="U14" i="28" s="1"/>
  <c r="V14" i="28" s="1"/>
  <c r="R39" i="28"/>
  <c r="T39" i="28" s="1"/>
  <c r="U39" i="28" s="1"/>
  <c r="V39" i="28" s="1"/>
  <c r="R47" i="28"/>
  <c r="T47" i="28" s="1"/>
  <c r="U47" i="28" s="1"/>
  <c r="V47" i="28" s="1"/>
  <c r="W12" i="24"/>
  <c r="L43" i="24"/>
  <c r="P43" i="24"/>
  <c r="L50" i="24"/>
  <c r="P50" i="24"/>
  <c r="L51" i="24"/>
  <c r="P51" i="24"/>
  <c r="L15" i="24"/>
  <c r="P15" i="24"/>
  <c r="L24" i="24"/>
  <c r="P24" i="24"/>
  <c r="L44" i="24"/>
  <c r="P44" i="24"/>
  <c r="P21" i="24"/>
  <c r="L21" i="24"/>
  <c r="P45" i="24"/>
  <c r="L45" i="24"/>
  <c r="L40" i="24"/>
  <c r="P40" i="24"/>
  <c r="P33" i="24"/>
  <c r="L33" i="24"/>
  <c r="L14" i="24"/>
  <c r="P14" i="24"/>
  <c r="L18" i="24"/>
  <c r="P18" i="24"/>
  <c r="P23" i="24"/>
  <c r="L23" i="24"/>
  <c r="L29" i="24"/>
  <c r="P29" i="24"/>
  <c r="L26" i="24"/>
  <c r="P26" i="24"/>
  <c r="L38" i="24"/>
  <c r="P38" i="24"/>
  <c r="P13" i="24"/>
  <c r="L13" i="24"/>
  <c r="L46" i="24"/>
  <c r="P46" i="24"/>
  <c r="L42" i="24"/>
  <c r="P42" i="24"/>
  <c r="P27" i="24"/>
  <c r="L27" i="24"/>
  <c r="L28" i="24"/>
  <c r="P28" i="24"/>
  <c r="L22" i="24"/>
  <c r="P22" i="24"/>
  <c r="L36" i="24"/>
  <c r="P36" i="24"/>
  <c r="P17" i="24"/>
  <c r="L17" i="24"/>
  <c r="L16" i="24"/>
  <c r="P16" i="24"/>
  <c r="L25" i="24"/>
  <c r="P25" i="24"/>
  <c r="L48" i="24"/>
  <c r="P48" i="24"/>
  <c r="P41" i="24"/>
  <c r="L41" i="24"/>
  <c r="P31" i="24"/>
  <c r="L31" i="24"/>
  <c r="L20" i="24"/>
  <c r="P20" i="24"/>
  <c r="P37" i="24"/>
  <c r="L37" i="24"/>
  <c r="L39" i="24"/>
  <c r="P39" i="24"/>
  <c r="L34" i="24"/>
  <c r="P34" i="24"/>
  <c r="L47" i="24"/>
  <c r="P47" i="24"/>
  <c r="P49" i="24"/>
  <c r="L49" i="24"/>
  <c r="P35" i="24"/>
  <c r="L35" i="24"/>
  <c r="L30" i="24"/>
  <c r="P30" i="24"/>
  <c r="P19" i="24"/>
  <c r="L19" i="24"/>
  <c r="L32" i="24"/>
  <c r="P32" i="24"/>
  <c r="K19" i="23"/>
  <c r="K14" i="23"/>
  <c r="K38" i="23"/>
  <c r="K43" i="23"/>
  <c r="K40" i="23"/>
  <c r="K37" i="23"/>
  <c r="K42" i="23"/>
  <c r="K17" i="23"/>
  <c r="K18" i="23"/>
  <c r="K16" i="23"/>
  <c r="K28" i="23"/>
  <c r="K50" i="23"/>
  <c r="K46" i="23"/>
  <c r="K47" i="23"/>
  <c r="K44" i="23"/>
  <c r="K41" i="23"/>
  <c r="K27" i="23"/>
  <c r="K29" i="23"/>
  <c r="K32" i="23"/>
  <c r="K35" i="23"/>
  <c r="K48" i="23"/>
  <c r="K45" i="23"/>
  <c r="K15" i="23"/>
  <c r="K33" i="23"/>
  <c r="K24" i="23"/>
  <c r="K30" i="23"/>
  <c r="K23" i="23"/>
  <c r="K20" i="23"/>
  <c r="K22" i="23"/>
  <c r="K51" i="23"/>
  <c r="K25" i="23"/>
  <c r="K13" i="23"/>
  <c r="I12" i="23"/>
  <c r="K31" i="23"/>
  <c r="K21" i="23"/>
  <c r="K34" i="23"/>
  <c r="K26" i="23"/>
  <c r="K39" i="23"/>
  <c r="K36" i="23"/>
  <c r="K49" i="23"/>
  <c r="P39" i="22"/>
  <c r="P17" i="22"/>
  <c r="P21" i="22"/>
  <c r="P26" i="22"/>
  <c r="P33" i="22"/>
  <c r="P18" i="22"/>
  <c r="P35" i="22"/>
  <c r="P23" i="22"/>
  <c r="P28" i="22"/>
  <c r="P45" i="22"/>
  <c r="P25" i="22"/>
  <c r="P43" i="22"/>
  <c r="P16" i="22"/>
  <c r="P36" i="22"/>
  <c r="P13" i="22"/>
  <c r="P51" i="22"/>
  <c r="P48" i="22"/>
  <c r="P14" i="22"/>
  <c r="P47" i="22"/>
  <c r="P19" i="22"/>
  <c r="P27" i="22"/>
  <c r="P42" i="22"/>
  <c r="P37" i="22"/>
  <c r="P29" i="22"/>
  <c r="P15" i="22"/>
  <c r="P46" i="22"/>
  <c r="P40" i="22"/>
  <c r="P41" i="22"/>
  <c r="P30" i="22"/>
  <c r="P49" i="22"/>
  <c r="P38" i="22"/>
  <c r="P22" i="22"/>
  <c r="P32" i="22"/>
  <c r="P34" i="22"/>
  <c r="P50" i="22"/>
  <c r="P44" i="22"/>
  <c r="P31" i="22"/>
  <c r="P20" i="22"/>
  <c r="P24" i="22"/>
  <c r="N52" i="21"/>
  <c r="C12" i="21"/>
  <c r="X44" i="28" l="1"/>
  <c r="W44" i="28"/>
  <c r="W42" i="28"/>
  <c r="X42" i="28"/>
  <c r="X22" i="28"/>
  <c r="W22" i="28"/>
  <c r="X51" i="28"/>
  <c r="W51" i="28"/>
  <c r="X29" i="28"/>
  <c r="W29" i="28"/>
  <c r="W33" i="28"/>
  <c r="X33" i="28"/>
  <c r="X26" i="28"/>
  <c r="W26" i="28"/>
  <c r="X27" i="28"/>
  <c r="W27" i="28"/>
  <c r="W16" i="28"/>
  <c r="X16" i="28"/>
  <c r="X41" i="28"/>
  <c r="W41" i="28"/>
  <c r="W38" i="28"/>
  <c r="X38" i="28"/>
  <c r="X45" i="28"/>
  <c r="W45" i="28"/>
  <c r="X17" i="28"/>
  <c r="W17" i="28"/>
  <c r="W46" i="28"/>
  <c r="X46" i="28"/>
  <c r="X37" i="28"/>
  <c r="W37" i="28"/>
  <c r="X47" i="28"/>
  <c r="W47" i="28"/>
  <c r="X30" i="28"/>
  <c r="W30" i="28"/>
  <c r="X25" i="28"/>
  <c r="W25" i="28"/>
  <c r="W18" i="28"/>
  <c r="X18" i="28"/>
  <c r="W28" i="28"/>
  <c r="X28" i="28"/>
  <c r="X19" i="28"/>
  <c r="W19" i="28"/>
  <c r="X23" i="28"/>
  <c r="W23" i="28"/>
  <c r="X32" i="28"/>
  <c r="W32" i="28"/>
  <c r="W34" i="28"/>
  <c r="X34" i="28"/>
  <c r="X21" i="28"/>
  <c r="W21" i="28"/>
  <c r="X40" i="28"/>
  <c r="W40" i="28"/>
  <c r="X43" i="28"/>
  <c r="W43" i="28"/>
  <c r="X48" i="28"/>
  <c r="W48" i="28"/>
  <c r="X39" i="28"/>
  <c r="W39" i="28"/>
  <c r="X49" i="28"/>
  <c r="W49" i="28"/>
  <c r="W15" i="28"/>
  <c r="X15" i="28"/>
  <c r="X35" i="28"/>
  <c r="W35" i="28"/>
  <c r="X31" i="28"/>
  <c r="W31" i="28"/>
  <c r="W14" i="28"/>
  <c r="X14" i="28"/>
  <c r="W24" i="28"/>
  <c r="X24" i="28"/>
  <c r="X13" i="28"/>
  <c r="W13" i="28"/>
  <c r="X5" i="28"/>
  <c r="Y11" i="28" s="1"/>
  <c r="W20" i="28"/>
  <c r="X20" i="28"/>
  <c r="M38" i="24"/>
  <c r="M41" i="24"/>
  <c r="N41" i="24" s="1"/>
  <c r="M45" i="24"/>
  <c r="N45" i="24" s="1"/>
  <c r="R45" i="24" s="1"/>
  <c r="T45" i="24" s="1"/>
  <c r="U45" i="24" s="1"/>
  <c r="V45" i="24" s="1"/>
  <c r="X45" i="24" s="1"/>
  <c r="M21" i="24"/>
  <c r="N21" i="24" s="1"/>
  <c r="R21" i="24" s="1"/>
  <c r="T21" i="24" s="1"/>
  <c r="U21" i="24" s="1"/>
  <c r="V21" i="24" s="1"/>
  <c r="X21" i="24" s="1"/>
  <c r="N38" i="24"/>
  <c r="R38" i="24" s="1"/>
  <c r="T38" i="24" s="1"/>
  <c r="U38" i="24" s="1"/>
  <c r="V38" i="24" s="1"/>
  <c r="X38" i="24" s="1"/>
  <c r="M15" i="24"/>
  <c r="N15" i="24" s="1"/>
  <c r="M16" i="24"/>
  <c r="N16" i="24" s="1"/>
  <c r="M44" i="24"/>
  <c r="N44" i="24" s="1"/>
  <c r="M50" i="24"/>
  <c r="N50" i="24" s="1"/>
  <c r="M35" i="24"/>
  <c r="N35" i="24" s="1"/>
  <c r="M17" i="24"/>
  <c r="N17" i="24" s="1"/>
  <c r="M23" i="24"/>
  <c r="N23" i="24" s="1"/>
  <c r="M43" i="24"/>
  <c r="N43" i="24" s="1"/>
  <c r="M39" i="24"/>
  <c r="N39" i="24" s="1"/>
  <c r="M30" i="24"/>
  <c r="N30" i="24" s="1"/>
  <c r="M34" i="24"/>
  <c r="N34" i="24" s="1"/>
  <c r="M22" i="24"/>
  <c r="N22" i="24" s="1"/>
  <c r="M31" i="24"/>
  <c r="N31" i="24" s="1"/>
  <c r="M42" i="24"/>
  <c r="N42" i="24" s="1"/>
  <c r="M18" i="24"/>
  <c r="N18" i="24" s="1"/>
  <c r="M24" i="24"/>
  <c r="N24" i="24" s="1"/>
  <c r="M19" i="24"/>
  <c r="N19" i="24" s="1"/>
  <c r="M46" i="24"/>
  <c r="N46" i="24" s="1"/>
  <c r="M25" i="24"/>
  <c r="N25" i="24" s="1"/>
  <c r="M51" i="24"/>
  <c r="N51" i="24" s="1"/>
  <c r="M32" i="24"/>
  <c r="N32" i="24" s="1"/>
  <c r="M28" i="24"/>
  <c r="N28" i="24" s="1"/>
  <c r="M13" i="24"/>
  <c r="N13" i="24" s="1"/>
  <c r="M14" i="24"/>
  <c r="N14" i="24" s="1"/>
  <c r="R41" i="24"/>
  <c r="T41" i="24" s="1"/>
  <c r="U41" i="24" s="1"/>
  <c r="V41" i="24" s="1"/>
  <c r="X41" i="24" s="1"/>
  <c r="M33" i="24"/>
  <c r="N33" i="24" s="1"/>
  <c r="M48" i="24"/>
  <c r="N48" i="24" s="1"/>
  <c r="M20" i="24"/>
  <c r="N20" i="24" s="1"/>
  <c r="M36" i="24"/>
  <c r="N36" i="24" s="1"/>
  <c r="M40" i="24"/>
  <c r="N40" i="24" s="1"/>
  <c r="M49" i="24"/>
  <c r="N49" i="24" s="1"/>
  <c r="M26" i="24"/>
  <c r="N26" i="24" s="1"/>
  <c r="M37" i="24"/>
  <c r="N37" i="24" s="1"/>
  <c r="M29" i="24"/>
  <c r="N29" i="24" s="1"/>
  <c r="M47" i="24"/>
  <c r="N47" i="24" s="1"/>
  <c r="M27" i="24"/>
  <c r="N27" i="24" s="1"/>
  <c r="P49" i="23"/>
  <c r="P25" i="23"/>
  <c r="P31" i="23"/>
  <c r="P13" i="23"/>
  <c r="P22" i="23"/>
  <c r="P30" i="23"/>
  <c r="P24" i="23"/>
  <c r="P33" i="23"/>
  <c r="P27" i="23"/>
  <c r="P16" i="23"/>
  <c r="P40" i="23"/>
  <c r="P43" i="23"/>
  <c r="P23" i="23"/>
  <c r="P32" i="23"/>
  <c r="P44" i="23"/>
  <c r="P47" i="23"/>
  <c r="P46" i="23"/>
  <c r="P50" i="23"/>
  <c r="P17" i="23"/>
  <c r="P42" i="23"/>
  <c r="P37" i="23"/>
  <c r="P26" i="23"/>
  <c r="P51" i="23"/>
  <c r="P15" i="23"/>
  <c r="P45" i="23"/>
  <c r="P29" i="23"/>
  <c r="P14" i="23"/>
  <c r="P36" i="23"/>
  <c r="P39" i="23"/>
  <c r="P34" i="23"/>
  <c r="P21" i="23"/>
  <c r="P20" i="23"/>
  <c r="P48" i="23"/>
  <c r="P35" i="23"/>
  <c r="P41" i="23"/>
  <c r="P28" i="23"/>
  <c r="P18" i="23"/>
  <c r="P38" i="23"/>
  <c r="P19" i="23"/>
  <c r="G13" i="21"/>
  <c r="G12" i="21"/>
  <c r="W11" i="28" l="1"/>
  <c r="X3" i="28" s="1"/>
  <c r="X11" i="28"/>
  <c r="W45" i="24"/>
  <c r="W21" i="24"/>
  <c r="W41" i="24"/>
  <c r="R20" i="24"/>
  <c r="T20" i="24" s="1"/>
  <c r="U20" i="24" s="1"/>
  <c r="V20" i="24" s="1"/>
  <c r="X20" i="24" s="1"/>
  <c r="R19" i="24"/>
  <c r="T19" i="24" s="1"/>
  <c r="U19" i="24" s="1"/>
  <c r="V19" i="24" s="1"/>
  <c r="X19" i="24" s="1"/>
  <c r="R22" i="24"/>
  <c r="T22" i="24" s="1"/>
  <c r="U22" i="24" s="1"/>
  <c r="V22" i="24" s="1"/>
  <c r="X22" i="24" s="1"/>
  <c r="R50" i="24"/>
  <c r="T50" i="24" s="1"/>
  <c r="U50" i="24" s="1"/>
  <c r="V50" i="24" s="1"/>
  <c r="X50" i="24" s="1"/>
  <c r="R47" i="24"/>
  <c r="T47" i="24" s="1"/>
  <c r="U47" i="24" s="1"/>
  <c r="V47" i="24" s="1"/>
  <c r="X47" i="24" s="1"/>
  <c r="R49" i="24"/>
  <c r="T49" i="24" s="1"/>
  <c r="U49" i="24" s="1"/>
  <c r="V49" i="24" s="1"/>
  <c r="X49" i="24" s="1"/>
  <c r="R48" i="24"/>
  <c r="T48" i="24" s="1"/>
  <c r="U48" i="24" s="1"/>
  <c r="V48" i="24" s="1"/>
  <c r="X48" i="24" s="1"/>
  <c r="R14" i="24"/>
  <c r="T14" i="24" s="1"/>
  <c r="U14" i="24" s="1"/>
  <c r="V14" i="24" s="1"/>
  <c r="X14" i="24" s="1"/>
  <c r="R51" i="24"/>
  <c r="T51" i="24" s="1"/>
  <c r="U51" i="24" s="1"/>
  <c r="V51" i="24" s="1"/>
  <c r="X51" i="24" s="1"/>
  <c r="R24" i="24"/>
  <c r="T24" i="24" s="1"/>
  <c r="U24" i="24" s="1"/>
  <c r="V24" i="24" s="1"/>
  <c r="X24" i="24" s="1"/>
  <c r="R34" i="24"/>
  <c r="T34" i="24" s="1"/>
  <c r="U34" i="24" s="1"/>
  <c r="V34" i="24" s="1"/>
  <c r="X34" i="24" s="1"/>
  <c r="R23" i="24"/>
  <c r="T23" i="24" s="1"/>
  <c r="U23" i="24" s="1"/>
  <c r="V23" i="24" s="1"/>
  <c r="X23" i="24" s="1"/>
  <c r="R44" i="24"/>
  <c r="T44" i="24" s="1"/>
  <c r="U44" i="24" s="1"/>
  <c r="V44" i="24" s="1"/>
  <c r="X44" i="24" s="1"/>
  <c r="R15" i="24"/>
  <c r="T15" i="24" s="1"/>
  <c r="U15" i="24" s="1"/>
  <c r="V15" i="24" s="1"/>
  <c r="X15" i="24" s="1"/>
  <c r="R27" i="24"/>
  <c r="T27" i="24" s="1"/>
  <c r="U27" i="24" s="1"/>
  <c r="V27" i="24" s="1"/>
  <c r="X27" i="24" s="1"/>
  <c r="R32" i="24"/>
  <c r="T32" i="24" s="1"/>
  <c r="U32" i="24" s="1"/>
  <c r="V32" i="24" s="1"/>
  <c r="X32" i="24" s="1"/>
  <c r="R29" i="24"/>
  <c r="T29" i="24" s="1"/>
  <c r="U29" i="24" s="1"/>
  <c r="V29" i="24" s="1"/>
  <c r="X29" i="24" s="1"/>
  <c r="R33" i="24"/>
  <c r="T33" i="24" s="1"/>
  <c r="U33" i="24" s="1"/>
  <c r="V33" i="24" s="1"/>
  <c r="X33" i="24" s="1"/>
  <c r="R13" i="24"/>
  <c r="T13" i="24" s="1"/>
  <c r="U13" i="24" s="1"/>
  <c r="V13" i="24" s="1"/>
  <c r="X13" i="24" s="1"/>
  <c r="R25" i="24"/>
  <c r="T25" i="24" s="1"/>
  <c r="U25" i="24" s="1"/>
  <c r="V25" i="24" s="1"/>
  <c r="X25" i="24" s="1"/>
  <c r="R18" i="24"/>
  <c r="T18" i="24" s="1"/>
  <c r="U18" i="24" s="1"/>
  <c r="V18" i="24" s="1"/>
  <c r="X18" i="24" s="1"/>
  <c r="R30" i="24"/>
  <c r="T30" i="24" s="1"/>
  <c r="U30" i="24" s="1"/>
  <c r="V30" i="24" s="1"/>
  <c r="X30" i="24" s="1"/>
  <c r="R17" i="24"/>
  <c r="T17" i="24" s="1"/>
  <c r="U17" i="24" s="1"/>
  <c r="V17" i="24" s="1"/>
  <c r="X17" i="24" s="1"/>
  <c r="R16" i="24"/>
  <c r="T16" i="24" s="1"/>
  <c r="U16" i="24" s="1"/>
  <c r="V16" i="24" s="1"/>
  <c r="X16" i="24" s="1"/>
  <c r="W38" i="24"/>
  <c r="R26" i="24"/>
  <c r="T26" i="24" s="1"/>
  <c r="U26" i="24" s="1"/>
  <c r="V26" i="24" s="1"/>
  <c r="X26" i="24" s="1"/>
  <c r="R31" i="24"/>
  <c r="T31" i="24" s="1"/>
  <c r="U31" i="24" s="1"/>
  <c r="V31" i="24" s="1"/>
  <c r="X31" i="24" s="1"/>
  <c r="R43" i="24"/>
  <c r="T43" i="24" s="1"/>
  <c r="U43" i="24" s="1"/>
  <c r="V43" i="24" s="1"/>
  <c r="X43" i="24" s="1"/>
  <c r="R40" i="24"/>
  <c r="T40" i="24" s="1"/>
  <c r="U40" i="24" s="1"/>
  <c r="V40" i="24" s="1"/>
  <c r="X40" i="24" s="1"/>
  <c r="R37" i="24"/>
  <c r="T37" i="24" s="1"/>
  <c r="U37" i="24" s="1"/>
  <c r="V37" i="24" s="1"/>
  <c r="X37" i="24" s="1"/>
  <c r="R36" i="24"/>
  <c r="T36" i="24" s="1"/>
  <c r="U36" i="24" s="1"/>
  <c r="V36" i="24" s="1"/>
  <c r="X36" i="24" s="1"/>
  <c r="R28" i="24"/>
  <c r="T28" i="24" s="1"/>
  <c r="U28" i="24" s="1"/>
  <c r="V28" i="24" s="1"/>
  <c r="X28" i="24" s="1"/>
  <c r="R46" i="24"/>
  <c r="T46" i="24" s="1"/>
  <c r="U46" i="24" s="1"/>
  <c r="V46" i="24" s="1"/>
  <c r="X46" i="24" s="1"/>
  <c r="R42" i="24"/>
  <c r="T42" i="24" s="1"/>
  <c r="U42" i="24" s="1"/>
  <c r="V42" i="24" s="1"/>
  <c r="X42" i="24" s="1"/>
  <c r="R39" i="24"/>
  <c r="T39" i="24" s="1"/>
  <c r="U39" i="24" s="1"/>
  <c r="V39" i="24" s="1"/>
  <c r="X39" i="24" s="1"/>
  <c r="R35" i="24"/>
  <c r="T35" i="24" s="1"/>
  <c r="U35" i="24" s="1"/>
  <c r="V35" i="24" s="1"/>
  <c r="X35" i="24" s="1"/>
  <c r="Q12" i="21"/>
  <c r="Q49" i="21"/>
  <c r="Q50" i="21"/>
  <c r="Q51" i="21"/>
  <c r="G14" i="21"/>
  <c r="G15" i="21"/>
  <c r="G16" i="21"/>
  <c r="G17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F13" i="21"/>
  <c r="F49" i="21"/>
  <c r="F50" i="21"/>
  <c r="F51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C49" i="21"/>
  <c r="D50" i="21"/>
  <c r="C51" i="21"/>
  <c r="D51" i="21" s="1"/>
  <c r="C13" i="21"/>
  <c r="C14" i="21"/>
  <c r="D14" i="21" s="1"/>
  <c r="D15" i="21"/>
  <c r="C16" i="21"/>
  <c r="C17" i="21"/>
  <c r="C18" i="21"/>
  <c r="D18" i="21" s="1"/>
  <c r="C19" i="21"/>
  <c r="D19" i="21" s="1"/>
  <c r="D20" i="21"/>
  <c r="D21" i="21"/>
  <c r="C22" i="21"/>
  <c r="D22" i="21" s="1"/>
  <c r="C23" i="21"/>
  <c r="D23" i="21" s="1"/>
  <c r="C24" i="21"/>
  <c r="D24" i="21" s="1"/>
  <c r="C25" i="21"/>
  <c r="C26" i="21"/>
  <c r="D26" i="21" s="1"/>
  <c r="C27" i="21"/>
  <c r="D27" i="21" s="1"/>
  <c r="C28" i="21"/>
  <c r="C29" i="21"/>
  <c r="D29" i="21" s="1"/>
  <c r="C30" i="21"/>
  <c r="D30" i="21" s="1"/>
  <c r="C31" i="21"/>
  <c r="D31" i="21" s="1"/>
  <c r="C32" i="21"/>
  <c r="C33" i="21"/>
  <c r="D33" i="21" s="1"/>
  <c r="C34" i="21"/>
  <c r="D34" i="21" s="1"/>
  <c r="C35" i="21"/>
  <c r="D35" i="21" s="1"/>
  <c r="C36" i="21"/>
  <c r="D36" i="21" s="1"/>
  <c r="C37" i="21"/>
  <c r="D37" i="21" s="1"/>
  <c r="C38" i="21"/>
  <c r="D38" i="21" s="1"/>
  <c r="C39" i="21"/>
  <c r="D39" i="21" s="1"/>
  <c r="C40" i="21"/>
  <c r="D40" i="21" s="1"/>
  <c r="C41" i="21"/>
  <c r="D41" i="21" s="1"/>
  <c r="C42" i="21"/>
  <c r="D42" i="21" s="1"/>
  <c r="C43" i="21"/>
  <c r="D43" i="21" s="1"/>
  <c r="C44" i="21"/>
  <c r="C45" i="21"/>
  <c r="D45" i="21" s="1"/>
  <c r="C46" i="21"/>
  <c r="D46" i="21" s="1"/>
  <c r="C47" i="21"/>
  <c r="D47" i="21" s="1"/>
  <c r="C48" i="21"/>
  <c r="D12" i="21"/>
  <c r="Q48" i="21"/>
  <c r="D48" i="21"/>
  <c r="Q47" i="21"/>
  <c r="Q46" i="21"/>
  <c r="Q45" i="21"/>
  <c r="Q44" i="21"/>
  <c r="D44" i="21"/>
  <c r="Q43" i="21"/>
  <c r="Q42" i="21"/>
  <c r="Q41" i="21"/>
  <c r="Q40" i="21"/>
  <c r="Q39" i="21"/>
  <c r="Q38" i="21"/>
  <c r="Q37" i="21"/>
  <c r="Q36" i="21"/>
  <c r="Q35" i="21"/>
  <c r="Q34" i="21"/>
  <c r="Q33" i="21"/>
  <c r="Q32" i="21"/>
  <c r="D32" i="21"/>
  <c r="Q31" i="21"/>
  <c r="Q30" i="21"/>
  <c r="Q29" i="21"/>
  <c r="Q28" i="21"/>
  <c r="D28" i="21"/>
  <c r="Q27" i="21"/>
  <c r="Q26" i="21"/>
  <c r="Q25" i="21"/>
  <c r="D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O12" i="21"/>
  <c r="K12" i="21"/>
  <c r="P12" i="21" s="1"/>
  <c r="W39" i="24" l="1"/>
  <c r="W40" i="24"/>
  <c r="W17" i="24"/>
  <c r="W13" i="24"/>
  <c r="X5" i="24"/>
  <c r="W29" i="24"/>
  <c r="W27" i="24"/>
  <c r="W44" i="24"/>
  <c r="W34" i="24"/>
  <c r="W51" i="24"/>
  <c r="W48" i="24"/>
  <c r="W47" i="24"/>
  <c r="W22" i="24"/>
  <c r="W20" i="24"/>
  <c r="W36" i="24"/>
  <c r="W35" i="24"/>
  <c r="W28" i="24"/>
  <c r="W43" i="24"/>
  <c r="W30" i="24"/>
  <c r="W33" i="24"/>
  <c r="W15" i="24"/>
  <c r="W24" i="24"/>
  <c r="W14" i="24"/>
  <c r="W49" i="24"/>
  <c r="W50" i="24"/>
  <c r="W19" i="24"/>
  <c r="W46" i="24"/>
  <c r="W31" i="24"/>
  <c r="W18" i="24"/>
  <c r="W42" i="24"/>
  <c r="W37" i="24"/>
  <c r="W26" i="24"/>
  <c r="W16" i="24"/>
  <c r="W25" i="24"/>
  <c r="W32" i="24"/>
  <c r="W23" i="24"/>
  <c r="D13" i="21"/>
  <c r="H12" i="21"/>
  <c r="H51" i="21"/>
  <c r="I51" i="21" s="1"/>
  <c r="F12" i="21"/>
  <c r="H46" i="21"/>
  <c r="H38" i="21"/>
  <c r="H34" i="21"/>
  <c r="H45" i="21"/>
  <c r="H37" i="21"/>
  <c r="H33" i="21"/>
  <c r="H48" i="21"/>
  <c r="H40" i="21"/>
  <c r="H36" i="21"/>
  <c r="H32" i="21"/>
  <c r="H39" i="21"/>
  <c r="H35" i="21"/>
  <c r="H30" i="21"/>
  <c r="H24" i="21"/>
  <c r="H16" i="21"/>
  <c r="H27" i="21"/>
  <c r="H19" i="21"/>
  <c r="H26" i="21"/>
  <c r="H22" i="21"/>
  <c r="H31" i="21"/>
  <c r="H29" i="21"/>
  <c r="H25" i="21"/>
  <c r="H14" i="21"/>
  <c r="I14" i="21" s="1"/>
  <c r="H13" i="21"/>
  <c r="H49" i="21" l="1"/>
  <c r="I49" i="21" s="1"/>
  <c r="H15" i="21"/>
  <c r="H47" i="21"/>
  <c r="H20" i="21"/>
  <c r="I20" i="21" s="1"/>
  <c r="H50" i="21"/>
  <c r="K51" i="21" s="1"/>
  <c r="H17" i="21"/>
  <c r="H21" i="21"/>
  <c r="I21" i="21" s="1"/>
  <c r="H18" i="21"/>
  <c r="H23" i="21"/>
  <c r="H28" i="21"/>
  <c r="I28" i="21" s="1"/>
  <c r="H43" i="21"/>
  <c r="H44" i="21"/>
  <c r="H41" i="21"/>
  <c r="H42" i="21"/>
  <c r="I42" i="21" s="1"/>
  <c r="I48" i="21"/>
  <c r="W11" i="24"/>
  <c r="Y11" i="24"/>
  <c r="K49" i="21"/>
  <c r="I50" i="21"/>
  <c r="K50" i="21"/>
  <c r="L50" i="21" s="1"/>
  <c r="K14" i="21"/>
  <c r="L14" i="21" s="1"/>
  <c r="I13" i="21"/>
  <c r="I12" i="21"/>
  <c r="K13" i="21"/>
  <c r="K30" i="21"/>
  <c r="I29" i="21"/>
  <c r="I26" i="21"/>
  <c r="K27" i="21"/>
  <c r="I16" i="21"/>
  <c r="K31" i="21"/>
  <c r="I30" i="21"/>
  <c r="K48" i="21"/>
  <c r="I47" i="21"/>
  <c r="I44" i="21"/>
  <c r="K45" i="21"/>
  <c r="I41" i="21"/>
  <c r="K42" i="21"/>
  <c r="K43" i="21"/>
  <c r="I31" i="21"/>
  <c r="K32" i="21"/>
  <c r="I19" i="21"/>
  <c r="K20" i="21"/>
  <c r="L20" i="21" s="1"/>
  <c r="K21" i="21"/>
  <c r="L21" i="21" s="1"/>
  <c r="I35" i="21"/>
  <c r="K36" i="21"/>
  <c r="I32" i="21"/>
  <c r="K33" i="21"/>
  <c r="I45" i="21"/>
  <c r="K46" i="21"/>
  <c r="K47" i="21"/>
  <c r="P47" i="21" s="1"/>
  <c r="I46" i="21"/>
  <c r="K22" i="21"/>
  <c r="I18" i="21"/>
  <c r="K19" i="21"/>
  <c r="L19" i="21" s="1"/>
  <c r="I23" i="21"/>
  <c r="K24" i="21"/>
  <c r="K25" i="21"/>
  <c r="I24" i="21"/>
  <c r="I39" i="21"/>
  <c r="K40" i="21"/>
  <c r="I36" i="21"/>
  <c r="K37" i="21"/>
  <c r="I33" i="21"/>
  <c r="K34" i="21"/>
  <c r="K35" i="21"/>
  <c r="I34" i="21"/>
  <c r="K16" i="21"/>
  <c r="I25" i="21"/>
  <c r="K26" i="21"/>
  <c r="I22" i="21"/>
  <c r="K23" i="21"/>
  <c r="I27" i="21"/>
  <c r="K28" i="21"/>
  <c r="K29" i="21"/>
  <c r="I43" i="21"/>
  <c r="I40" i="21"/>
  <c r="K41" i="21"/>
  <c r="I37" i="21"/>
  <c r="K38" i="21"/>
  <c r="K39" i="21"/>
  <c r="I38" i="21"/>
  <c r="K44" i="21" l="1"/>
  <c r="I17" i="21"/>
  <c r="K18" i="21"/>
  <c r="P18" i="21" s="1"/>
  <c r="K17" i="21"/>
  <c r="P49" i="21"/>
  <c r="L49" i="21"/>
  <c r="I15" i="21"/>
  <c r="K15" i="21"/>
  <c r="L15" i="21" s="1"/>
  <c r="X3" i="24"/>
  <c r="E9" i="25" s="1"/>
  <c r="F9" i="25"/>
  <c r="X11" i="24"/>
  <c r="P50" i="21"/>
  <c r="P51" i="21"/>
  <c r="L51" i="21"/>
  <c r="L34" i="21"/>
  <c r="P34" i="21"/>
  <c r="L24" i="21"/>
  <c r="P24" i="21"/>
  <c r="L22" i="21"/>
  <c r="P22" i="21"/>
  <c r="L33" i="21"/>
  <c r="P33" i="21"/>
  <c r="L45" i="21"/>
  <c r="P45" i="21"/>
  <c r="P17" i="21"/>
  <c r="L17" i="21"/>
  <c r="P15" i="21"/>
  <c r="P21" i="21"/>
  <c r="P43" i="21"/>
  <c r="L43" i="21"/>
  <c r="L27" i="21"/>
  <c r="P27" i="21"/>
  <c r="P14" i="21"/>
  <c r="L38" i="21"/>
  <c r="P38" i="21"/>
  <c r="L44" i="21"/>
  <c r="P44" i="21"/>
  <c r="L28" i="21"/>
  <c r="P28" i="21"/>
  <c r="L26" i="21"/>
  <c r="P26" i="21"/>
  <c r="L16" i="21"/>
  <c r="P16" i="21"/>
  <c r="P35" i="21"/>
  <c r="L35" i="21"/>
  <c r="P25" i="21"/>
  <c r="L25" i="21"/>
  <c r="L18" i="21"/>
  <c r="P48" i="21"/>
  <c r="L48" i="21"/>
  <c r="M49" i="21" s="1"/>
  <c r="L40" i="21"/>
  <c r="P40" i="21"/>
  <c r="L47" i="21"/>
  <c r="L32" i="21"/>
  <c r="P32" i="21"/>
  <c r="L30" i="21"/>
  <c r="P30" i="21"/>
  <c r="L41" i="21"/>
  <c r="P41" i="21"/>
  <c r="L23" i="21"/>
  <c r="P23" i="21"/>
  <c r="L46" i="21"/>
  <c r="P46" i="21"/>
  <c r="L13" i="21"/>
  <c r="P13" i="21"/>
  <c r="P39" i="21"/>
  <c r="L39" i="21"/>
  <c r="P29" i="21"/>
  <c r="L29" i="21"/>
  <c r="L37" i="21"/>
  <c r="P37" i="21"/>
  <c r="P19" i="21"/>
  <c r="L36" i="21"/>
  <c r="P36" i="21"/>
  <c r="P20" i="21"/>
  <c r="L42" i="21"/>
  <c r="P42" i="21"/>
  <c r="P31" i="21"/>
  <c r="L31" i="21"/>
  <c r="M48" i="21" l="1"/>
  <c r="M16" i="21"/>
  <c r="M20" i="21"/>
  <c r="M18" i="21"/>
  <c r="M47" i="21"/>
  <c r="M19" i="21"/>
  <c r="M17" i="21"/>
  <c r="M13" i="21"/>
  <c r="M32" i="21"/>
  <c r="M50" i="21"/>
  <c r="M21" i="21"/>
  <c r="M24" i="21"/>
  <c r="M31" i="21"/>
  <c r="M29" i="21"/>
  <c r="M39" i="21"/>
  <c r="M28" i="21"/>
  <c r="M34" i="21"/>
  <c r="M25" i="21"/>
  <c r="M14" i="21"/>
  <c r="M40" i="21"/>
  <c r="M36" i="21"/>
  <c r="M15" i="21"/>
  <c r="M44" i="21"/>
  <c r="M51" i="21"/>
  <c r="M30" i="21"/>
  <c r="M26" i="21"/>
  <c r="M22" i="21"/>
  <c r="M43" i="21"/>
  <c r="M37" i="21"/>
  <c r="M38" i="21"/>
  <c r="M42" i="21"/>
  <c r="M33" i="21"/>
  <c r="M41" i="21"/>
  <c r="M27" i="21"/>
  <c r="M45" i="21"/>
  <c r="M46" i="21"/>
  <c r="M23" i="21"/>
  <c r="M35" i="21"/>
  <c r="N12" i="21"/>
  <c r="R12" i="21" l="1"/>
  <c r="G36" i="20" l="1"/>
  <c r="G17" i="20"/>
  <c r="F17" i="20"/>
  <c r="G11" i="20"/>
  <c r="F11" i="20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I5" i="19"/>
  <c r="D5" i="19"/>
  <c r="G2" i="19"/>
  <c r="F2" i="19"/>
  <c r="E43" i="19" s="1"/>
  <c r="F43" i="19" s="1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I5" i="18"/>
  <c r="D5" i="18"/>
  <c r="K2" i="18"/>
  <c r="J2" i="18"/>
  <c r="I2" i="18"/>
  <c r="H2" i="18"/>
  <c r="G2" i="18"/>
  <c r="F2" i="18"/>
  <c r="F43" i="17"/>
  <c r="D43" i="17"/>
  <c r="F42" i="17"/>
  <c r="D42" i="17"/>
  <c r="F41" i="17"/>
  <c r="D41" i="17"/>
  <c r="F40" i="17"/>
  <c r="D40" i="17"/>
  <c r="F39" i="17"/>
  <c r="D39" i="17"/>
  <c r="F38" i="17"/>
  <c r="D38" i="17"/>
  <c r="F37" i="17"/>
  <c r="D37" i="17"/>
  <c r="F36" i="17"/>
  <c r="D36" i="17"/>
  <c r="F35" i="17"/>
  <c r="D35" i="17"/>
  <c r="F34" i="17"/>
  <c r="D34" i="17"/>
  <c r="F33" i="17"/>
  <c r="D33" i="17"/>
  <c r="F32" i="17"/>
  <c r="D32" i="17"/>
  <c r="F31" i="17"/>
  <c r="D31" i="17"/>
  <c r="F30" i="17"/>
  <c r="D30" i="17"/>
  <c r="F29" i="17"/>
  <c r="D29" i="17"/>
  <c r="F28" i="17"/>
  <c r="D28" i="17"/>
  <c r="F27" i="17"/>
  <c r="D27" i="17"/>
  <c r="F26" i="17"/>
  <c r="D26" i="17"/>
  <c r="F25" i="17"/>
  <c r="D25" i="17"/>
  <c r="F24" i="17"/>
  <c r="D24" i="17"/>
  <c r="F23" i="17"/>
  <c r="D23" i="17"/>
  <c r="F22" i="17"/>
  <c r="D22" i="17"/>
  <c r="F21" i="17"/>
  <c r="D21" i="17"/>
  <c r="F20" i="17"/>
  <c r="D20" i="17"/>
  <c r="F19" i="17"/>
  <c r="D19" i="17"/>
  <c r="F18" i="17"/>
  <c r="D18" i="17"/>
  <c r="F17" i="17"/>
  <c r="D17" i="17"/>
  <c r="F16" i="17"/>
  <c r="D16" i="17"/>
  <c r="F15" i="17"/>
  <c r="D15" i="17"/>
  <c r="F14" i="17"/>
  <c r="D14" i="17"/>
  <c r="F13" i="17"/>
  <c r="D13" i="17"/>
  <c r="F12" i="17"/>
  <c r="D12" i="17"/>
  <c r="F11" i="17"/>
  <c r="D11" i="17"/>
  <c r="F10" i="17"/>
  <c r="D10" i="17"/>
  <c r="F9" i="17"/>
  <c r="D9" i="17"/>
  <c r="F8" i="17"/>
  <c r="D8" i="17"/>
  <c r="F7" i="17"/>
  <c r="D7" i="17"/>
  <c r="F6" i="17"/>
  <c r="D6" i="17"/>
  <c r="F5" i="17"/>
  <c r="D5" i="17"/>
  <c r="I4" i="17"/>
  <c r="G4" i="17"/>
  <c r="F4" i="17"/>
  <c r="D4" i="17"/>
  <c r="G27" i="17" s="1"/>
  <c r="E43" i="16"/>
  <c r="D43" i="16"/>
  <c r="E42" i="16"/>
  <c r="D42" i="16"/>
  <c r="E41" i="16"/>
  <c r="D41" i="16"/>
  <c r="E40" i="16"/>
  <c r="D40" i="16"/>
  <c r="E39" i="16"/>
  <c r="D39" i="16"/>
  <c r="E38" i="16"/>
  <c r="D38" i="16"/>
  <c r="E37" i="16"/>
  <c r="D37" i="16"/>
  <c r="E36" i="16"/>
  <c r="D36" i="16"/>
  <c r="E35" i="16"/>
  <c r="D35" i="16"/>
  <c r="E34" i="16"/>
  <c r="D34" i="16"/>
  <c r="E33" i="16"/>
  <c r="D33" i="16"/>
  <c r="E32" i="16"/>
  <c r="D32" i="16"/>
  <c r="E31" i="16"/>
  <c r="D31" i="16"/>
  <c r="E30" i="16"/>
  <c r="D30" i="16"/>
  <c r="E29" i="16"/>
  <c r="D29" i="16"/>
  <c r="E28" i="16"/>
  <c r="D28" i="16"/>
  <c r="E27" i="16"/>
  <c r="D27" i="16"/>
  <c r="E26" i="16"/>
  <c r="D26" i="16"/>
  <c r="E25" i="16"/>
  <c r="D25" i="16"/>
  <c r="E24" i="16"/>
  <c r="D24" i="16"/>
  <c r="E23" i="16"/>
  <c r="D23" i="16"/>
  <c r="E22" i="16"/>
  <c r="D22" i="16"/>
  <c r="E21" i="16"/>
  <c r="D21" i="16"/>
  <c r="E20" i="16"/>
  <c r="D20" i="16"/>
  <c r="E19" i="16"/>
  <c r="D19" i="16"/>
  <c r="E18" i="16"/>
  <c r="D18" i="16"/>
  <c r="E17" i="16"/>
  <c r="D17" i="16"/>
  <c r="E16" i="16"/>
  <c r="D16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8" i="16"/>
  <c r="D8" i="16"/>
  <c r="E7" i="16"/>
  <c r="D7" i="16"/>
  <c r="E6" i="16"/>
  <c r="D6" i="16"/>
  <c r="G16" i="16" s="1"/>
  <c r="E5" i="16"/>
  <c r="D5" i="16"/>
  <c r="I4" i="16"/>
  <c r="F4" i="16"/>
  <c r="E4" i="16"/>
  <c r="D4" i="16"/>
  <c r="F5" i="16" s="1"/>
  <c r="G4" i="16"/>
  <c r="E43" i="18" l="1"/>
  <c r="F43" i="18" s="1"/>
  <c r="I44" i="19"/>
  <c r="G43" i="19"/>
  <c r="E13" i="19"/>
  <c r="F13" i="19" s="1"/>
  <c r="E20" i="19"/>
  <c r="F20" i="19" s="1"/>
  <c r="E24" i="19"/>
  <c r="F24" i="19" s="1"/>
  <c r="E28" i="19"/>
  <c r="F28" i="19" s="1"/>
  <c r="E32" i="19"/>
  <c r="F32" i="19" s="1"/>
  <c r="E36" i="19"/>
  <c r="F36" i="19" s="1"/>
  <c r="E40" i="19"/>
  <c r="F40" i="19" s="1"/>
  <c r="E44" i="19"/>
  <c r="F44" i="19" s="1"/>
  <c r="E6" i="19"/>
  <c r="F6" i="19" s="1"/>
  <c r="I7" i="19" s="1"/>
  <c r="E10" i="19"/>
  <c r="F10" i="19" s="1"/>
  <c r="E14" i="19"/>
  <c r="F14" i="19" s="1"/>
  <c r="E18" i="19"/>
  <c r="F18" i="19" s="1"/>
  <c r="E21" i="19"/>
  <c r="F21" i="19" s="1"/>
  <c r="E25" i="19"/>
  <c r="F25" i="19" s="1"/>
  <c r="E29" i="19"/>
  <c r="F29" i="19" s="1"/>
  <c r="E33" i="19"/>
  <c r="F33" i="19" s="1"/>
  <c r="E37" i="19"/>
  <c r="F37" i="19" s="1"/>
  <c r="E41" i="19"/>
  <c r="F41" i="19" s="1"/>
  <c r="E9" i="19"/>
  <c r="F9" i="19" s="1"/>
  <c r="E7" i="19"/>
  <c r="F7" i="19" s="1"/>
  <c r="E22" i="19"/>
  <c r="F22" i="19" s="1"/>
  <c r="E26" i="19"/>
  <c r="F26" i="19" s="1"/>
  <c r="E30" i="19"/>
  <c r="F30" i="19" s="1"/>
  <c r="E34" i="19"/>
  <c r="F34" i="19" s="1"/>
  <c r="E38" i="19"/>
  <c r="F38" i="19" s="1"/>
  <c r="E42" i="19"/>
  <c r="F42" i="19" s="1"/>
  <c r="E17" i="19"/>
  <c r="F17" i="19" s="1"/>
  <c r="E11" i="19"/>
  <c r="F11" i="19" s="1"/>
  <c r="E15" i="19"/>
  <c r="F15" i="19" s="1"/>
  <c r="E5" i="19"/>
  <c r="F5" i="19" s="1"/>
  <c r="E8" i="19"/>
  <c r="F8" i="19" s="1"/>
  <c r="E12" i="19"/>
  <c r="F12" i="19" s="1"/>
  <c r="E16" i="19"/>
  <c r="F16" i="19" s="1"/>
  <c r="E19" i="19"/>
  <c r="F19" i="19" s="1"/>
  <c r="E23" i="19"/>
  <c r="F23" i="19" s="1"/>
  <c r="E27" i="19"/>
  <c r="F27" i="19" s="1"/>
  <c r="E31" i="19"/>
  <c r="F31" i="19" s="1"/>
  <c r="E35" i="19"/>
  <c r="F35" i="19" s="1"/>
  <c r="E39" i="19"/>
  <c r="F39" i="19" s="1"/>
  <c r="I44" i="18"/>
  <c r="G43" i="18"/>
  <c r="E9" i="18"/>
  <c r="F9" i="18" s="1"/>
  <c r="E13" i="18"/>
  <c r="F13" i="18" s="1"/>
  <c r="E44" i="18"/>
  <c r="F44" i="18" s="1"/>
  <c r="E6" i="18"/>
  <c r="F6" i="18" s="1"/>
  <c r="I7" i="18" s="1"/>
  <c r="E10" i="18"/>
  <c r="F10" i="18" s="1"/>
  <c r="E14" i="18"/>
  <c r="F14" i="18" s="1"/>
  <c r="E18" i="18"/>
  <c r="F18" i="18" s="1"/>
  <c r="E21" i="18"/>
  <c r="F21" i="18" s="1"/>
  <c r="E25" i="18"/>
  <c r="F25" i="18" s="1"/>
  <c r="E29" i="18"/>
  <c r="F29" i="18" s="1"/>
  <c r="E33" i="18"/>
  <c r="F33" i="18" s="1"/>
  <c r="E37" i="18"/>
  <c r="F37" i="18" s="1"/>
  <c r="E41" i="18"/>
  <c r="F41" i="18" s="1"/>
  <c r="E24" i="18"/>
  <c r="F24" i="18" s="1"/>
  <c r="E28" i="18"/>
  <c r="F28" i="18" s="1"/>
  <c r="E32" i="18"/>
  <c r="F32" i="18" s="1"/>
  <c r="E36" i="18"/>
  <c r="F36" i="18" s="1"/>
  <c r="E40" i="18"/>
  <c r="F40" i="18" s="1"/>
  <c r="E7" i="18"/>
  <c r="F7" i="18" s="1"/>
  <c r="E11" i="18"/>
  <c r="F11" i="18" s="1"/>
  <c r="E15" i="18"/>
  <c r="F15" i="18" s="1"/>
  <c r="E22" i="18"/>
  <c r="F22" i="18" s="1"/>
  <c r="E26" i="18"/>
  <c r="F26" i="18" s="1"/>
  <c r="E30" i="18"/>
  <c r="F30" i="18" s="1"/>
  <c r="E34" i="18"/>
  <c r="F34" i="18" s="1"/>
  <c r="E38" i="18"/>
  <c r="F38" i="18" s="1"/>
  <c r="E42" i="18"/>
  <c r="F42" i="18" s="1"/>
  <c r="E17" i="18"/>
  <c r="F17" i="18" s="1"/>
  <c r="E20" i="18"/>
  <c r="F20" i="18" s="1"/>
  <c r="E5" i="18"/>
  <c r="F5" i="18" s="1"/>
  <c r="E8" i="18"/>
  <c r="F8" i="18" s="1"/>
  <c r="E12" i="18"/>
  <c r="F12" i="18" s="1"/>
  <c r="E16" i="18"/>
  <c r="F16" i="18" s="1"/>
  <c r="E19" i="18"/>
  <c r="F19" i="18" s="1"/>
  <c r="E23" i="18"/>
  <c r="F23" i="18" s="1"/>
  <c r="E27" i="18"/>
  <c r="F27" i="18" s="1"/>
  <c r="E31" i="18"/>
  <c r="F31" i="18" s="1"/>
  <c r="E35" i="18"/>
  <c r="F35" i="18" s="1"/>
  <c r="E39" i="18"/>
  <c r="F39" i="18" s="1"/>
  <c r="I6" i="17"/>
  <c r="I8" i="17"/>
  <c r="I10" i="17"/>
  <c r="I12" i="17"/>
  <c r="I14" i="17"/>
  <c r="I16" i="17"/>
  <c r="I18" i="17"/>
  <c r="I20" i="17"/>
  <c r="I22" i="17"/>
  <c r="I24" i="17"/>
  <c r="I26" i="17"/>
  <c r="I28" i="17"/>
  <c r="I30" i="17"/>
  <c r="I32" i="17"/>
  <c r="I34" i="17"/>
  <c r="I36" i="17"/>
  <c r="I38" i="17"/>
  <c r="I40" i="17"/>
  <c r="I42" i="17"/>
  <c r="I7" i="17"/>
  <c r="I9" i="17"/>
  <c r="I11" i="17"/>
  <c r="I13" i="17"/>
  <c r="I15" i="17"/>
  <c r="I17" i="17"/>
  <c r="I19" i="17"/>
  <c r="I21" i="17"/>
  <c r="I23" i="17"/>
  <c r="I25" i="17"/>
  <c r="I27" i="17"/>
  <c r="I29" i="17"/>
  <c r="I31" i="17"/>
  <c r="I33" i="17"/>
  <c r="I35" i="17"/>
  <c r="I37" i="17"/>
  <c r="I39" i="17"/>
  <c r="I41" i="17"/>
  <c r="I43" i="17"/>
  <c r="O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I5" i="17"/>
  <c r="I3" i="17" s="1"/>
  <c r="L4" i="17" s="1"/>
  <c r="L17" i="17" s="1"/>
  <c r="G18" i="17"/>
  <c r="G20" i="17"/>
  <c r="G22" i="17"/>
  <c r="G24" i="17"/>
  <c r="G25" i="17"/>
  <c r="G26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K4" i="17"/>
  <c r="G19" i="17"/>
  <c r="G21" i="17"/>
  <c r="G23" i="17"/>
  <c r="I7" i="16"/>
  <c r="I9" i="16"/>
  <c r="I11" i="16"/>
  <c r="I13" i="16"/>
  <c r="F14" i="16"/>
  <c r="F43" i="16"/>
  <c r="I6" i="16"/>
  <c r="I8" i="16"/>
  <c r="F9" i="16"/>
  <c r="I12" i="16"/>
  <c r="I14" i="16"/>
  <c r="G43" i="16"/>
  <c r="G17" i="16"/>
  <c r="I19" i="16"/>
  <c r="I21" i="16"/>
  <c r="I23" i="16"/>
  <c r="I25" i="16"/>
  <c r="I27" i="16"/>
  <c r="I29" i="16"/>
  <c r="I31" i="16"/>
  <c r="I33" i="16"/>
  <c r="I35" i="16"/>
  <c r="I37" i="16"/>
  <c r="I39" i="16"/>
  <c r="I41" i="16"/>
  <c r="I43" i="16"/>
  <c r="G15" i="16"/>
  <c r="I18" i="16"/>
  <c r="I20" i="16"/>
  <c r="I22" i="16"/>
  <c r="I24" i="16"/>
  <c r="I26" i="16"/>
  <c r="I28" i="16"/>
  <c r="I30" i="16"/>
  <c r="I32" i="16"/>
  <c r="I34" i="16"/>
  <c r="I36" i="16"/>
  <c r="I38" i="16"/>
  <c r="I40" i="16"/>
  <c r="I42" i="16"/>
  <c r="G5" i="16"/>
  <c r="G9" i="16"/>
  <c r="G10" i="16"/>
  <c r="F17" i="16"/>
  <c r="G20" i="16"/>
  <c r="G22" i="16"/>
  <c r="G24" i="16"/>
  <c r="G26" i="16"/>
  <c r="G30" i="16"/>
  <c r="G32" i="16"/>
  <c r="G34" i="16"/>
  <c r="G36" i="16"/>
  <c r="G38" i="16"/>
  <c r="G40" i="16"/>
  <c r="G42" i="16"/>
  <c r="G7" i="16"/>
  <c r="G12" i="16"/>
  <c r="G14" i="16"/>
  <c r="F15" i="16"/>
  <c r="I16" i="16"/>
  <c r="G18" i="16"/>
  <c r="G28" i="16"/>
  <c r="I5" i="16"/>
  <c r="F6" i="16"/>
  <c r="F8" i="16"/>
  <c r="I10" i="16"/>
  <c r="F11" i="16"/>
  <c r="F13" i="16"/>
  <c r="F19" i="16"/>
  <c r="F21" i="16"/>
  <c r="F23" i="16"/>
  <c r="F25" i="16"/>
  <c r="F27" i="16"/>
  <c r="F29" i="16"/>
  <c r="F31" i="16"/>
  <c r="F33" i="16"/>
  <c r="F35" i="16"/>
  <c r="F37" i="16"/>
  <c r="F39" i="16"/>
  <c r="F41" i="16"/>
  <c r="G6" i="16"/>
  <c r="F16" i="16"/>
  <c r="I17" i="16"/>
  <c r="G21" i="16"/>
  <c r="G23" i="16"/>
  <c r="G25" i="16"/>
  <c r="G27" i="16"/>
  <c r="G29" i="16"/>
  <c r="G31" i="16"/>
  <c r="G33" i="16"/>
  <c r="G35" i="16"/>
  <c r="G37" i="16"/>
  <c r="G39" i="16"/>
  <c r="G41" i="16"/>
  <c r="O4" i="16"/>
  <c r="G8" i="16"/>
  <c r="G11" i="16"/>
  <c r="G13" i="16"/>
  <c r="I15" i="16"/>
  <c r="G19" i="16"/>
  <c r="K4" i="16"/>
  <c r="F7" i="16"/>
  <c r="F10" i="16"/>
  <c r="F12" i="16"/>
  <c r="F18" i="16"/>
  <c r="F20" i="16"/>
  <c r="F22" i="16"/>
  <c r="F24" i="16"/>
  <c r="F26" i="16"/>
  <c r="F28" i="16"/>
  <c r="F30" i="16"/>
  <c r="F32" i="16"/>
  <c r="F34" i="16"/>
  <c r="F36" i="16"/>
  <c r="F38" i="16"/>
  <c r="F40" i="16"/>
  <c r="F42" i="16"/>
  <c r="F3" i="12"/>
  <c r="G36" i="11"/>
  <c r="I32" i="19" l="1"/>
  <c r="G31" i="19"/>
  <c r="I39" i="19"/>
  <c r="G38" i="19"/>
  <c r="G21" i="19"/>
  <c r="I22" i="19"/>
  <c r="G32" i="19"/>
  <c r="I33" i="19"/>
  <c r="G13" i="19"/>
  <c r="I14" i="19"/>
  <c r="I28" i="19"/>
  <c r="G27" i="19"/>
  <c r="I13" i="19"/>
  <c r="G12" i="19"/>
  <c r="I12" i="19"/>
  <c r="G11" i="19"/>
  <c r="I35" i="19"/>
  <c r="G34" i="19"/>
  <c r="I8" i="19"/>
  <c r="G7" i="19"/>
  <c r="G33" i="19"/>
  <c r="I34" i="19"/>
  <c r="G18" i="19"/>
  <c r="I19" i="19"/>
  <c r="N4" i="19"/>
  <c r="G44" i="19"/>
  <c r="K5" i="19"/>
  <c r="G28" i="19"/>
  <c r="I29" i="19"/>
  <c r="G6" i="19"/>
  <c r="G15" i="19"/>
  <c r="I16" i="19"/>
  <c r="G37" i="19"/>
  <c r="I38" i="19"/>
  <c r="I24" i="19"/>
  <c r="G23" i="19"/>
  <c r="I9" i="19"/>
  <c r="G8" i="19"/>
  <c r="G17" i="19"/>
  <c r="I18" i="19"/>
  <c r="I31" i="19"/>
  <c r="G30" i="19"/>
  <c r="I10" i="19"/>
  <c r="G9" i="19"/>
  <c r="G29" i="19"/>
  <c r="I30" i="19"/>
  <c r="G14" i="19"/>
  <c r="I15" i="19"/>
  <c r="G40" i="19"/>
  <c r="I41" i="19"/>
  <c r="G24" i="19"/>
  <c r="I25" i="19"/>
  <c r="I17" i="19"/>
  <c r="G16" i="19"/>
  <c r="I23" i="19"/>
  <c r="G22" i="19"/>
  <c r="I40" i="19"/>
  <c r="G39" i="19"/>
  <c r="I36" i="19"/>
  <c r="G35" i="19"/>
  <c r="I20" i="19"/>
  <c r="G19" i="19"/>
  <c r="G5" i="19"/>
  <c r="I6" i="19"/>
  <c r="I43" i="19"/>
  <c r="G42" i="19"/>
  <c r="I27" i="19"/>
  <c r="G26" i="19"/>
  <c r="G41" i="19"/>
  <c r="I42" i="19"/>
  <c r="G25" i="19"/>
  <c r="I26" i="19"/>
  <c r="G10" i="19"/>
  <c r="I11" i="19"/>
  <c r="G36" i="19"/>
  <c r="I37" i="19"/>
  <c r="I21" i="19"/>
  <c r="G20" i="19"/>
  <c r="I17" i="18"/>
  <c r="G16" i="18"/>
  <c r="G15" i="18"/>
  <c r="I16" i="18"/>
  <c r="G25" i="18"/>
  <c r="I26" i="18"/>
  <c r="I28" i="18"/>
  <c r="G27" i="18"/>
  <c r="I13" i="18"/>
  <c r="G12" i="18"/>
  <c r="G17" i="18"/>
  <c r="I18" i="18"/>
  <c r="I31" i="18"/>
  <c r="G30" i="18"/>
  <c r="I12" i="18"/>
  <c r="G11" i="18"/>
  <c r="G32" i="18"/>
  <c r="I33" i="18"/>
  <c r="G37" i="18"/>
  <c r="I38" i="18"/>
  <c r="G21" i="18"/>
  <c r="I22" i="18"/>
  <c r="G20" i="18"/>
  <c r="I21" i="18"/>
  <c r="G36" i="18"/>
  <c r="I37" i="18"/>
  <c r="I10" i="18"/>
  <c r="G9" i="18"/>
  <c r="I40" i="18"/>
  <c r="G39" i="18"/>
  <c r="I24" i="18"/>
  <c r="G23" i="18"/>
  <c r="I9" i="18"/>
  <c r="G8" i="18"/>
  <c r="G42" i="18"/>
  <c r="I43" i="18"/>
  <c r="I27" i="18"/>
  <c r="G26" i="18"/>
  <c r="I8" i="18"/>
  <c r="G7" i="18"/>
  <c r="G28" i="18"/>
  <c r="I29" i="18"/>
  <c r="G33" i="18"/>
  <c r="I34" i="18"/>
  <c r="G18" i="18"/>
  <c r="I19" i="18"/>
  <c r="G44" i="18"/>
  <c r="K5" i="18"/>
  <c r="N4" i="18"/>
  <c r="I32" i="18"/>
  <c r="G31" i="18"/>
  <c r="I35" i="18"/>
  <c r="G34" i="18"/>
  <c r="G41" i="18"/>
  <c r="I42" i="18"/>
  <c r="G10" i="18"/>
  <c r="I11" i="18"/>
  <c r="I36" i="18"/>
  <c r="G35" i="18"/>
  <c r="I20" i="18"/>
  <c r="G19" i="18"/>
  <c r="I6" i="18"/>
  <c r="G5" i="18"/>
  <c r="I39" i="18"/>
  <c r="G38" i="18"/>
  <c r="G22" i="18"/>
  <c r="I23" i="18"/>
  <c r="G40" i="18"/>
  <c r="I41" i="18"/>
  <c r="I25" i="18"/>
  <c r="G24" i="18"/>
  <c r="G29" i="18"/>
  <c r="I30" i="18"/>
  <c r="G14" i="18"/>
  <c r="I15" i="18"/>
  <c r="G13" i="18"/>
  <c r="I14" i="18"/>
  <c r="G6" i="18"/>
  <c r="G3" i="17"/>
  <c r="K14" i="17"/>
  <c r="H4" i="17"/>
  <c r="M4" i="17"/>
  <c r="J4" i="17"/>
  <c r="L14" i="17"/>
  <c r="Q4" i="17"/>
  <c r="T4" i="17"/>
  <c r="S14" i="17"/>
  <c r="P4" i="17"/>
  <c r="O14" i="17"/>
  <c r="R4" i="17"/>
  <c r="S4" i="17" s="1"/>
  <c r="F3" i="16"/>
  <c r="H4" i="16" s="1"/>
  <c r="R4" i="16"/>
  <c r="I3" i="16"/>
  <c r="L4" i="16" s="1"/>
  <c r="L17" i="16" s="1"/>
  <c r="J2" i="8"/>
  <c r="G18" i="11"/>
  <c r="G17" i="11"/>
  <c r="G16" i="11"/>
  <c r="F18" i="11"/>
  <c r="F17" i="11"/>
  <c r="F16" i="11"/>
  <c r="G11" i="11"/>
  <c r="F11" i="11"/>
  <c r="I4" i="19" l="1"/>
  <c r="L5" i="19" s="1"/>
  <c r="L18" i="19" s="1"/>
  <c r="G4" i="19"/>
  <c r="P4" i="19"/>
  <c r="F30" i="20" s="1"/>
  <c r="S4" i="19"/>
  <c r="O4" i="19"/>
  <c r="O15" i="19"/>
  <c r="G4" i="18"/>
  <c r="I4" i="18"/>
  <c r="L5" i="18" s="1"/>
  <c r="L18" i="18" s="1"/>
  <c r="P4" i="18"/>
  <c r="F23" i="20" s="1"/>
  <c r="N15" i="18"/>
  <c r="P4" i="16"/>
  <c r="O14" i="16"/>
  <c r="T4" i="16"/>
  <c r="J4" i="16"/>
  <c r="M4" i="16"/>
  <c r="S9" i="16"/>
  <c r="K14" i="16"/>
  <c r="Q4" i="16"/>
  <c r="S4" i="16"/>
  <c r="P9" i="16"/>
  <c r="L14" i="16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I5" i="15"/>
  <c r="D5" i="15"/>
  <c r="G2" i="15"/>
  <c r="F2" i="15"/>
  <c r="E18" i="15" s="1"/>
  <c r="F18" i="15" s="1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I5" i="14"/>
  <c r="D5" i="14"/>
  <c r="K2" i="14"/>
  <c r="J2" i="14"/>
  <c r="I2" i="14"/>
  <c r="H2" i="14"/>
  <c r="G2" i="14"/>
  <c r="F2" i="14"/>
  <c r="F43" i="13"/>
  <c r="D43" i="13"/>
  <c r="F42" i="13"/>
  <c r="D42" i="13"/>
  <c r="F41" i="13"/>
  <c r="D41" i="13"/>
  <c r="F40" i="13"/>
  <c r="D40" i="13"/>
  <c r="F39" i="13"/>
  <c r="D39" i="13"/>
  <c r="F38" i="13"/>
  <c r="D38" i="13"/>
  <c r="F37" i="13"/>
  <c r="D37" i="13"/>
  <c r="F36" i="13"/>
  <c r="D36" i="13"/>
  <c r="F35" i="13"/>
  <c r="D35" i="13"/>
  <c r="F34" i="13"/>
  <c r="D34" i="13"/>
  <c r="F33" i="13"/>
  <c r="D33" i="13"/>
  <c r="F32" i="13"/>
  <c r="D32" i="13"/>
  <c r="F31" i="13"/>
  <c r="D31" i="13"/>
  <c r="F30" i="13"/>
  <c r="D30" i="13"/>
  <c r="F29" i="13"/>
  <c r="D29" i="13"/>
  <c r="F28" i="13"/>
  <c r="D28" i="13"/>
  <c r="F27" i="13"/>
  <c r="D27" i="13"/>
  <c r="F26" i="13"/>
  <c r="D26" i="13"/>
  <c r="F25" i="13"/>
  <c r="D25" i="13"/>
  <c r="F24" i="13"/>
  <c r="D24" i="13"/>
  <c r="F23" i="13"/>
  <c r="D23" i="13"/>
  <c r="F22" i="13"/>
  <c r="D22" i="13"/>
  <c r="F21" i="13"/>
  <c r="D21" i="13"/>
  <c r="F20" i="13"/>
  <c r="D20" i="13"/>
  <c r="F19" i="13"/>
  <c r="D19" i="13"/>
  <c r="F18" i="13"/>
  <c r="D18" i="13"/>
  <c r="F17" i="13"/>
  <c r="D17" i="13"/>
  <c r="F16" i="13"/>
  <c r="D16" i="13"/>
  <c r="F15" i="13"/>
  <c r="D15" i="13"/>
  <c r="F14" i="13"/>
  <c r="D14" i="13"/>
  <c r="F13" i="13"/>
  <c r="D13" i="13"/>
  <c r="F12" i="13"/>
  <c r="D12" i="13"/>
  <c r="F11" i="13"/>
  <c r="D11" i="13"/>
  <c r="F10" i="13"/>
  <c r="D10" i="13"/>
  <c r="F9" i="13"/>
  <c r="D9" i="13"/>
  <c r="F8" i="13"/>
  <c r="D8" i="13"/>
  <c r="F7" i="13"/>
  <c r="D7" i="13"/>
  <c r="F6" i="13"/>
  <c r="D6" i="13"/>
  <c r="F5" i="13"/>
  <c r="D5" i="13"/>
  <c r="I4" i="13"/>
  <c r="F4" i="13"/>
  <c r="G4" i="13"/>
  <c r="E43" i="12"/>
  <c r="D43" i="12"/>
  <c r="E42" i="12"/>
  <c r="D42" i="12"/>
  <c r="E41" i="12"/>
  <c r="D41" i="12"/>
  <c r="E40" i="12"/>
  <c r="D40" i="12"/>
  <c r="E39" i="12"/>
  <c r="D39" i="12"/>
  <c r="E38" i="12"/>
  <c r="D38" i="12"/>
  <c r="E37" i="12"/>
  <c r="D37" i="12"/>
  <c r="E36" i="12"/>
  <c r="D36" i="12"/>
  <c r="E35" i="12"/>
  <c r="D35" i="12"/>
  <c r="E34" i="12"/>
  <c r="D34" i="12"/>
  <c r="E33" i="12"/>
  <c r="D33" i="12"/>
  <c r="E32" i="12"/>
  <c r="D32" i="12"/>
  <c r="E31" i="12"/>
  <c r="D31" i="12"/>
  <c r="E30" i="12"/>
  <c r="D30" i="12"/>
  <c r="E29" i="12"/>
  <c r="D29" i="12"/>
  <c r="E28" i="12"/>
  <c r="E27" i="12"/>
  <c r="D27" i="12"/>
  <c r="E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E6" i="12"/>
  <c r="D6" i="12"/>
  <c r="E5" i="12"/>
  <c r="D5" i="12"/>
  <c r="I4" i="12"/>
  <c r="E4" i="12"/>
  <c r="G4" i="12"/>
  <c r="S14" i="10"/>
  <c r="O14" i="10"/>
  <c r="K14" i="10"/>
  <c r="Q4" i="19" l="1"/>
  <c r="G30" i="20" s="1"/>
  <c r="R4" i="19"/>
  <c r="L15" i="19"/>
  <c r="M5" i="19"/>
  <c r="H5" i="19"/>
  <c r="K15" i="19"/>
  <c r="R15" i="19"/>
  <c r="J5" i="19"/>
  <c r="O4" i="18"/>
  <c r="Q4" i="18"/>
  <c r="G23" i="20" s="1"/>
  <c r="R4" i="18"/>
  <c r="S4" i="18"/>
  <c r="L15" i="18"/>
  <c r="M5" i="18"/>
  <c r="K15" i="18"/>
  <c r="H5" i="18"/>
  <c r="R15" i="18"/>
  <c r="J5" i="18"/>
  <c r="E40" i="14"/>
  <c r="F40" i="14" s="1"/>
  <c r="I41" i="14" s="1"/>
  <c r="E7" i="14"/>
  <c r="F7" i="14" s="1"/>
  <c r="G7" i="14" s="1"/>
  <c r="E24" i="14"/>
  <c r="F24" i="14" s="1"/>
  <c r="I25" i="14" s="1"/>
  <c r="E11" i="14"/>
  <c r="F11" i="14" s="1"/>
  <c r="I12" i="14" s="1"/>
  <c r="E32" i="14"/>
  <c r="F32" i="14" s="1"/>
  <c r="I33" i="14" s="1"/>
  <c r="E15" i="14"/>
  <c r="F15" i="14" s="1"/>
  <c r="G15" i="14" s="1"/>
  <c r="I19" i="15"/>
  <c r="G18" i="15"/>
  <c r="E22" i="15"/>
  <c r="F22" i="15" s="1"/>
  <c r="E26" i="15"/>
  <c r="F26" i="15" s="1"/>
  <c r="E28" i="15"/>
  <c r="F28" i="15" s="1"/>
  <c r="E32" i="15"/>
  <c r="F32" i="15" s="1"/>
  <c r="E36" i="15"/>
  <c r="F36" i="15" s="1"/>
  <c r="E44" i="15"/>
  <c r="F44" i="15" s="1"/>
  <c r="E7" i="15"/>
  <c r="F7" i="15" s="1"/>
  <c r="E9" i="15"/>
  <c r="F9" i="15" s="1"/>
  <c r="E11" i="15"/>
  <c r="F11" i="15" s="1"/>
  <c r="E13" i="15"/>
  <c r="F13" i="15" s="1"/>
  <c r="E15" i="15"/>
  <c r="F15" i="15" s="1"/>
  <c r="E17" i="15"/>
  <c r="F17" i="15" s="1"/>
  <c r="E24" i="15"/>
  <c r="F24" i="15" s="1"/>
  <c r="E30" i="15"/>
  <c r="F30" i="15" s="1"/>
  <c r="E34" i="15"/>
  <c r="F34" i="15" s="1"/>
  <c r="E38" i="15"/>
  <c r="F38" i="15" s="1"/>
  <c r="E40" i="15"/>
  <c r="F40" i="15" s="1"/>
  <c r="E42" i="15"/>
  <c r="F42" i="15" s="1"/>
  <c r="E19" i="15"/>
  <c r="F19" i="15" s="1"/>
  <c r="E21" i="15"/>
  <c r="F21" i="15" s="1"/>
  <c r="E23" i="15"/>
  <c r="F23" i="15" s="1"/>
  <c r="E25" i="15"/>
  <c r="F25" i="15" s="1"/>
  <c r="E27" i="15"/>
  <c r="F27" i="15" s="1"/>
  <c r="E29" i="15"/>
  <c r="F29" i="15" s="1"/>
  <c r="E31" i="15"/>
  <c r="F31" i="15" s="1"/>
  <c r="E33" i="15"/>
  <c r="F33" i="15" s="1"/>
  <c r="E35" i="15"/>
  <c r="F35" i="15" s="1"/>
  <c r="E37" i="15"/>
  <c r="F37" i="15" s="1"/>
  <c r="E39" i="15"/>
  <c r="F39" i="15" s="1"/>
  <c r="E41" i="15"/>
  <c r="F41" i="15" s="1"/>
  <c r="E43" i="15"/>
  <c r="F43" i="15" s="1"/>
  <c r="E5" i="15"/>
  <c r="F5" i="15" s="1"/>
  <c r="I6" i="15" s="1"/>
  <c r="E20" i="15"/>
  <c r="F20" i="15" s="1"/>
  <c r="E6" i="15"/>
  <c r="F6" i="15" s="1"/>
  <c r="I7" i="15" s="1"/>
  <c r="E8" i="15"/>
  <c r="F8" i="15" s="1"/>
  <c r="E10" i="15"/>
  <c r="F10" i="15" s="1"/>
  <c r="E12" i="15"/>
  <c r="F12" i="15" s="1"/>
  <c r="E14" i="15"/>
  <c r="F14" i="15" s="1"/>
  <c r="E16" i="15"/>
  <c r="F16" i="15" s="1"/>
  <c r="G24" i="14"/>
  <c r="E18" i="14"/>
  <c r="F18" i="14" s="1"/>
  <c r="E16" i="14"/>
  <c r="F16" i="14" s="1"/>
  <c r="E14" i="14"/>
  <c r="F14" i="14" s="1"/>
  <c r="E12" i="14"/>
  <c r="F12" i="14" s="1"/>
  <c r="E10" i="14"/>
  <c r="F10" i="14" s="1"/>
  <c r="E8" i="14"/>
  <c r="F8" i="14" s="1"/>
  <c r="E6" i="14"/>
  <c r="F6" i="14" s="1"/>
  <c r="E43" i="14"/>
  <c r="F43" i="14" s="1"/>
  <c r="E41" i="14"/>
  <c r="F41" i="14" s="1"/>
  <c r="E39" i="14"/>
  <c r="F39" i="14" s="1"/>
  <c r="E37" i="14"/>
  <c r="F37" i="14" s="1"/>
  <c r="E35" i="14"/>
  <c r="F35" i="14" s="1"/>
  <c r="E33" i="14"/>
  <c r="F33" i="14" s="1"/>
  <c r="E31" i="14"/>
  <c r="F31" i="14" s="1"/>
  <c r="E29" i="14"/>
  <c r="F29" i="14" s="1"/>
  <c r="E27" i="14"/>
  <c r="F27" i="14" s="1"/>
  <c r="E25" i="14"/>
  <c r="F25" i="14" s="1"/>
  <c r="E23" i="14"/>
  <c r="F23" i="14" s="1"/>
  <c r="E21" i="14"/>
  <c r="F21" i="14" s="1"/>
  <c r="E19" i="14"/>
  <c r="F19" i="14" s="1"/>
  <c r="E17" i="14"/>
  <c r="F17" i="14" s="1"/>
  <c r="E22" i="14"/>
  <c r="F22" i="14" s="1"/>
  <c r="E30" i="14"/>
  <c r="F30" i="14" s="1"/>
  <c r="E38" i="14"/>
  <c r="F38" i="14" s="1"/>
  <c r="E5" i="14"/>
  <c r="F5" i="14" s="1"/>
  <c r="G5" i="14" s="1"/>
  <c r="E9" i="14"/>
  <c r="F9" i="14" s="1"/>
  <c r="E13" i="14"/>
  <c r="F13" i="14" s="1"/>
  <c r="E20" i="14"/>
  <c r="F20" i="14" s="1"/>
  <c r="E28" i="14"/>
  <c r="F28" i="14" s="1"/>
  <c r="E36" i="14"/>
  <c r="F36" i="14" s="1"/>
  <c r="E44" i="14"/>
  <c r="F44" i="14" s="1"/>
  <c r="E26" i="14"/>
  <c r="F26" i="14" s="1"/>
  <c r="E34" i="14"/>
  <c r="F34" i="14" s="1"/>
  <c r="E42" i="14"/>
  <c r="F42" i="14" s="1"/>
  <c r="G7" i="13"/>
  <c r="G34" i="13"/>
  <c r="D4" i="13"/>
  <c r="G17" i="13" s="1"/>
  <c r="G22" i="13"/>
  <c r="G38" i="13"/>
  <c r="D7" i="12"/>
  <c r="D14" i="12"/>
  <c r="D26" i="12"/>
  <c r="D28" i="12"/>
  <c r="D4" i="12"/>
  <c r="F4" i="12"/>
  <c r="G32" i="14" l="1"/>
  <c r="G40" i="14"/>
  <c r="G5" i="15"/>
  <c r="G11" i="14"/>
  <c r="I16" i="14"/>
  <c r="I8" i="14"/>
  <c r="I42" i="15"/>
  <c r="G41" i="15"/>
  <c r="G42" i="15"/>
  <c r="I43" i="15"/>
  <c r="G28" i="15"/>
  <c r="I29" i="15"/>
  <c r="I13" i="15"/>
  <c r="G12" i="15"/>
  <c r="G20" i="15"/>
  <c r="I21" i="15"/>
  <c r="I40" i="15"/>
  <c r="G39" i="15"/>
  <c r="I32" i="15"/>
  <c r="G31" i="15"/>
  <c r="I24" i="15"/>
  <c r="G23" i="15"/>
  <c r="G40" i="15"/>
  <c r="I41" i="15"/>
  <c r="G24" i="15"/>
  <c r="I25" i="15"/>
  <c r="G11" i="15"/>
  <c r="I12" i="15"/>
  <c r="G44" i="15"/>
  <c r="K5" i="15"/>
  <c r="N4" i="15"/>
  <c r="G26" i="15"/>
  <c r="I27" i="15"/>
  <c r="I26" i="15"/>
  <c r="G25" i="15"/>
  <c r="G13" i="15"/>
  <c r="I14" i="15"/>
  <c r="I11" i="15"/>
  <c r="G10" i="15"/>
  <c r="I38" i="15"/>
  <c r="G37" i="15"/>
  <c r="I30" i="15"/>
  <c r="G29" i="15"/>
  <c r="I22" i="15"/>
  <c r="G21" i="15"/>
  <c r="G38" i="15"/>
  <c r="I39" i="15"/>
  <c r="G17" i="15"/>
  <c r="I18" i="15"/>
  <c r="G9" i="15"/>
  <c r="I10" i="15"/>
  <c r="G36" i="15"/>
  <c r="I37" i="15"/>
  <c r="G22" i="15"/>
  <c r="I23" i="15"/>
  <c r="G14" i="15"/>
  <c r="I15" i="15"/>
  <c r="I34" i="15"/>
  <c r="G33" i="15"/>
  <c r="G30" i="15"/>
  <c r="I31" i="15"/>
  <c r="G6" i="15"/>
  <c r="G16" i="15"/>
  <c r="I17" i="15"/>
  <c r="I9" i="15"/>
  <c r="G8" i="15"/>
  <c r="I44" i="15"/>
  <c r="G43" i="15"/>
  <c r="I36" i="15"/>
  <c r="G35" i="15"/>
  <c r="I28" i="15"/>
  <c r="G27" i="15"/>
  <c r="I20" i="15"/>
  <c r="G19" i="15"/>
  <c r="G34" i="15"/>
  <c r="I35" i="15"/>
  <c r="G15" i="15"/>
  <c r="I16" i="15"/>
  <c r="G7" i="15"/>
  <c r="I8" i="15"/>
  <c r="G32" i="15"/>
  <c r="I33" i="15"/>
  <c r="G42" i="14"/>
  <c r="I43" i="14"/>
  <c r="G36" i="14"/>
  <c r="I37" i="14"/>
  <c r="G9" i="14"/>
  <c r="I10" i="14"/>
  <c r="G22" i="14"/>
  <c r="I23" i="14"/>
  <c r="I22" i="14"/>
  <c r="G21" i="14"/>
  <c r="I30" i="14"/>
  <c r="G29" i="14"/>
  <c r="I38" i="14"/>
  <c r="G37" i="14"/>
  <c r="I7" i="14"/>
  <c r="G6" i="14"/>
  <c r="I15" i="14"/>
  <c r="G14" i="14"/>
  <c r="G34" i="14"/>
  <c r="I35" i="14"/>
  <c r="G28" i="14"/>
  <c r="I29" i="14"/>
  <c r="G17" i="14"/>
  <c r="I18" i="14"/>
  <c r="I24" i="14"/>
  <c r="G23" i="14"/>
  <c r="I32" i="14"/>
  <c r="G31" i="14"/>
  <c r="I40" i="14"/>
  <c r="G39" i="14"/>
  <c r="G8" i="14"/>
  <c r="I9" i="14"/>
  <c r="I17" i="14"/>
  <c r="G16" i="14"/>
  <c r="I6" i="14"/>
  <c r="G26" i="14"/>
  <c r="I27" i="14"/>
  <c r="G20" i="14"/>
  <c r="I21" i="14"/>
  <c r="G38" i="14"/>
  <c r="I39" i="14"/>
  <c r="I26" i="14"/>
  <c r="G25" i="14"/>
  <c r="I34" i="14"/>
  <c r="G33" i="14"/>
  <c r="I42" i="14"/>
  <c r="G41" i="14"/>
  <c r="I11" i="14"/>
  <c r="G10" i="14"/>
  <c r="G18" i="14"/>
  <c r="I19" i="14"/>
  <c r="G44" i="14"/>
  <c r="K5" i="14"/>
  <c r="N4" i="14"/>
  <c r="G13" i="14"/>
  <c r="I14" i="14"/>
  <c r="G30" i="14"/>
  <c r="I31" i="14"/>
  <c r="I20" i="14"/>
  <c r="G19" i="14"/>
  <c r="I28" i="14"/>
  <c r="G27" i="14"/>
  <c r="I36" i="14"/>
  <c r="G35" i="14"/>
  <c r="I44" i="14"/>
  <c r="G43" i="14"/>
  <c r="G12" i="14"/>
  <c r="I13" i="14"/>
  <c r="G43" i="13"/>
  <c r="G27" i="13"/>
  <c r="G24" i="13"/>
  <c r="G9" i="13"/>
  <c r="G31" i="13"/>
  <c r="I18" i="13"/>
  <c r="K4" i="13"/>
  <c r="G39" i="13"/>
  <c r="I19" i="13"/>
  <c r="G35" i="13"/>
  <c r="G12" i="13"/>
  <c r="I27" i="13"/>
  <c r="G13" i="13"/>
  <c r="G23" i="13"/>
  <c r="G19" i="13"/>
  <c r="G18" i="13"/>
  <c r="G30" i="13"/>
  <c r="I23" i="13"/>
  <c r="G11" i="13"/>
  <c r="O4" i="13"/>
  <c r="G26" i="13"/>
  <c r="I39" i="13"/>
  <c r="G20" i="13"/>
  <c r="I8" i="13"/>
  <c r="I35" i="13"/>
  <c r="G16" i="13"/>
  <c r="I31" i="13"/>
  <c r="G5" i="13"/>
  <c r="I21" i="13"/>
  <c r="I10" i="13"/>
  <c r="G41" i="13"/>
  <c r="I36" i="13"/>
  <c r="G29" i="13"/>
  <c r="G21" i="13"/>
  <c r="I17" i="13"/>
  <c r="I13" i="13"/>
  <c r="G10" i="13"/>
  <c r="G6" i="13"/>
  <c r="I42" i="13"/>
  <c r="I38" i="13"/>
  <c r="I34" i="13"/>
  <c r="I30" i="13"/>
  <c r="I26" i="13"/>
  <c r="I22" i="13"/>
  <c r="I15" i="13"/>
  <c r="I11" i="13"/>
  <c r="I7" i="13"/>
  <c r="I41" i="13"/>
  <c r="I37" i="13"/>
  <c r="I33" i="13"/>
  <c r="I29" i="13"/>
  <c r="I25" i="13"/>
  <c r="I14" i="13"/>
  <c r="I6" i="13"/>
  <c r="I40" i="13"/>
  <c r="G37" i="13"/>
  <c r="G33" i="13"/>
  <c r="I32" i="13"/>
  <c r="I28" i="13"/>
  <c r="G25" i="13"/>
  <c r="I24" i="13"/>
  <c r="I20" i="13"/>
  <c r="G14" i="13"/>
  <c r="I9" i="13"/>
  <c r="I5" i="13"/>
  <c r="G42" i="13"/>
  <c r="G15" i="13"/>
  <c r="G36" i="13"/>
  <c r="I16" i="13"/>
  <c r="I43" i="13"/>
  <c r="G32" i="13"/>
  <c r="I12" i="13"/>
  <c r="G28" i="13"/>
  <c r="G40" i="13"/>
  <c r="G8" i="13"/>
  <c r="I43" i="12"/>
  <c r="F42" i="12"/>
  <c r="I41" i="12"/>
  <c r="F40" i="12"/>
  <c r="I39" i="12"/>
  <c r="F38" i="12"/>
  <c r="I37" i="12"/>
  <c r="F36" i="12"/>
  <c r="I35" i="12"/>
  <c r="F34" i="12"/>
  <c r="I33" i="12"/>
  <c r="F32" i="12"/>
  <c r="I31" i="12"/>
  <c r="F30" i="12"/>
  <c r="I29" i="12"/>
  <c r="F28" i="12"/>
  <c r="I27" i="12"/>
  <c r="F26" i="12"/>
  <c r="I25" i="12"/>
  <c r="F24" i="12"/>
  <c r="I23" i="12"/>
  <c r="F22" i="12"/>
  <c r="I21" i="12"/>
  <c r="F20" i="12"/>
  <c r="I19" i="12"/>
  <c r="F18" i="12"/>
  <c r="F14" i="12"/>
  <c r="I13" i="12"/>
  <c r="F12" i="12"/>
  <c r="I11" i="12"/>
  <c r="F10" i="12"/>
  <c r="F9" i="12"/>
  <c r="I8" i="12"/>
  <c r="F7" i="12"/>
  <c r="F5" i="12"/>
  <c r="I17" i="12"/>
  <c r="F16" i="12"/>
  <c r="O4" i="12"/>
  <c r="G36" i="12"/>
  <c r="F17" i="12"/>
  <c r="F15" i="12"/>
  <c r="G5" i="12"/>
  <c r="I6" i="12"/>
  <c r="K4" i="12"/>
  <c r="I5" i="12"/>
  <c r="I16" i="12"/>
  <c r="F35" i="12"/>
  <c r="F23" i="12"/>
  <c r="F13" i="12"/>
  <c r="F6" i="12"/>
  <c r="G34" i="12"/>
  <c r="G22" i="12"/>
  <c r="G10" i="12"/>
  <c r="G35" i="12"/>
  <c r="G19" i="12"/>
  <c r="I10" i="12"/>
  <c r="G33" i="12"/>
  <c r="I22" i="12"/>
  <c r="G6" i="12"/>
  <c r="G31" i="12"/>
  <c r="I20" i="12"/>
  <c r="I42" i="12"/>
  <c r="I26" i="12"/>
  <c r="I12" i="12"/>
  <c r="F41" i="12"/>
  <c r="F33" i="12"/>
  <c r="F27" i="12"/>
  <c r="F21" i="12"/>
  <c r="F11" i="12"/>
  <c r="G42" i="12"/>
  <c r="G32" i="12"/>
  <c r="G20" i="12"/>
  <c r="G9" i="12"/>
  <c r="I32" i="12"/>
  <c r="G16" i="12"/>
  <c r="G8" i="12"/>
  <c r="I30" i="12"/>
  <c r="G17" i="12"/>
  <c r="F43" i="12"/>
  <c r="I28" i="12"/>
  <c r="I14" i="12"/>
  <c r="G37" i="12"/>
  <c r="G21" i="12"/>
  <c r="I7" i="12"/>
  <c r="F39" i="12"/>
  <c r="F31" i="12"/>
  <c r="F19" i="12"/>
  <c r="F8" i="12"/>
  <c r="G40" i="12"/>
  <c r="G30" i="12"/>
  <c r="G18" i="12"/>
  <c r="G43" i="12"/>
  <c r="G27" i="12"/>
  <c r="I15" i="12"/>
  <c r="G41" i="12"/>
  <c r="G28" i="12"/>
  <c r="G14" i="12"/>
  <c r="G39" i="12"/>
  <c r="G26" i="12"/>
  <c r="I9" i="12"/>
  <c r="I34" i="12"/>
  <c r="I18" i="12"/>
  <c r="F37" i="12"/>
  <c r="F29" i="12"/>
  <c r="F25" i="12"/>
  <c r="G38" i="12"/>
  <c r="G24" i="12"/>
  <c r="G12" i="12"/>
  <c r="I40" i="12"/>
  <c r="I24" i="12"/>
  <c r="G13" i="12"/>
  <c r="I38" i="12"/>
  <c r="G25" i="12"/>
  <c r="G11" i="12"/>
  <c r="I36" i="12"/>
  <c r="G23" i="12"/>
  <c r="G7" i="12"/>
  <c r="G29" i="12"/>
  <c r="G15" i="12"/>
  <c r="P4" i="10"/>
  <c r="G4" i="15" l="1"/>
  <c r="H5" i="15" s="1"/>
  <c r="F29" i="11" s="1"/>
  <c r="I4" i="15"/>
  <c r="L5" i="15" s="1"/>
  <c r="L18" i="15" s="1"/>
  <c r="P4" i="15"/>
  <c r="F30" i="11" s="1"/>
  <c r="G4" i="14"/>
  <c r="H5" i="14" s="1"/>
  <c r="F22" i="11" s="1"/>
  <c r="F24" i="11" s="1"/>
  <c r="I4" i="14"/>
  <c r="L5" i="14" s="1"/>
  <c r="L18" i="14" s="1"/>
  <c r="P4" i="14"/>
  <c r="F23" i="11" s="1"/>
  <c r="G3" i="13"/>
  <c r="R4" i="13"/>
  <c r="I3" i="13"/>
  <c r="L4" i="13" s="1"/>
  <c r="L17" i="13" s="1"/>
  <c r="H4" i="12"/>
  <c r="F10" i="11" s="1"/>
  <c r="F12" i="11" s="1"/>
  <c r="I3" i="12"/>
  <c r="L4" i="12" s="1"/>
  <c r="L17" i="12" s="1"/>
  <c r="R4" i="12"/>
  <c r="I4" i="7"/>
  <c r="E40" i="7"/>
  <c r="D40" i="7"/>
  <c r="C40" i="7"/>
  <c r="C9" i="7"/>
  <c r="D9" i="7" s="1"/>
  <c r="E8" i="7"/>
  <c r="C7" i="7"/>
  <c r="E4" i="7"/>
  <c r="F31" i="11" l="1"/>
  <c r="O4" i="15"/>
  <c r="M5" i="15"/>
  <c r="L15" i="15"/>
  <c r="K15" i="15"/>
  <c r="O15" i="15"/>
  <c r="R15" i="15"/>
  <c r="S4" i="15"/>
  <c r="J5" i="15"/>
  <c r="G29" i="11" s="1"/>
  <c r="Q4" i="15"/>
  <c r="G30" i="11" s="1"/>
  <c r="R4" i="15"/>
  <c r="S4" i="14"/>
  <c r="R15" i="14"/>
  <c r="N15" i="14"/>
  <c r="J5" i="14"/>
  <c r="G22" i="11" s="1"/>
  <c r="O4" i="14"/>
  <c r="M5" i="14"/>
  <c r="K15" i="14"/>
  <c r="Q4" i="14"/>
  <c r="G23" i="11" s="1"/>
  <c r="R4" i="14"/>
  <c r="L15" i="14"/>
  <c r="S4" i="13"/>
  <c r="Q4" i="13"/>
  <c r="P4" i="13"/>
  <c r="O14" i="13"/>
  <c r="T4" i="13"/>
  <c r="S14" i="13"/>
  <c r="L14" i="13"/>
  <c r="K14" i="13"/>
  <c r="J4" i="13"/>
  <c r="M4" i="13"/>
  <c r="H4" i="13"/>
  <c r="O14" i="12"/>
  <c r="K14" i="12"/>
  <c r="G35" i="11" s="1"/>
  <c r="S4" i="12"/>
  <c r="P9" i="12"/>
  <c r="L14" i="12"/>
  <c r="P4" i="12"/>
  <c r="T4" i="12"/>
  <c r="M4" i="12"/>
  <c r="Q4" i="12"/>
  <c r="S9" i="12"/>
  <c r="G37" i="11" s="1"/>
  <c r="J4" i="12"/>
  <c r="G10" i="11" s="1"/>
  <c r="G12" i="11" s="1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" i="10"/>
  <c r="C43" i="10"/>
  <c r="D43" i="10" s="1"/>
  <c r="C42" i="10"/>
  <c r="D42" i="10" s="1"/>
  <c r="C41" i="10"/>
  <c r="D41" i="10" s="1"/>
  <c r="C40" i="10"/>
  <c r="D40" i="10" s="1"/>
  <c r="C39" i="10"/>
  <c r="D39" i="10" s="1"/>
  <c r="C38" i="10"/>
  <c r="D38" i="10" s="1"/>
  <c r="C37" i="10"/>
  <c r="D37" i="10" s="1"/>
  <c r="C36" i="10"/>
  <c r="D36" i="10" s="1"/>
  <c r="C35" i="10"/>
  <c r="D35" i="10" s="1"/>
  <c r="C34" i="10"/>
  <c r="D34" i="10" s="1"/>
  <c r="C33" i="10"/>
  <c r="D33" i="10" s="1"/>
  <c r="C32" i="10"/>
  <c r="D32" i="10" s="1"/>
  <c r="C31" i="10"/>
  <c r="D31" i="10" s="1"/>
  <c r="D30" i="10"/>
  <c r="C30" i="10"/>
  <c r="C29" i="10"/>
  <c r="D29" i="10" s="1"/>
  <c r="C28" i="10"/>
  <c r="D28" i="10" s="1"/>
  <c r="C27" i="10"/>
  <c r="D27" i="10" s="1"/>
  <c r="C26" i="10"/>
  <c r="D26" i="10" s="1"/>
  <c r="C25" i="10"/>
  <c r="D25" i="10" s="1"/>
  <c r="C24" i="10"/>
  <c r="D24" i="10" s="1"/>
  <c r="C23" i="10"/>
  <c r="D23" i="10" s="1"/>
  <c r="C22" i="10"/>
  <c r="D22" i="10" s="1"/>
  <c r="C21" i="10"/>
  <c r="D21" i="10" s="1"/>
  <c r="C20" i="10"/>
  <c r="D20" i="10" s="1"/>
  <c r="C19" i="10"/>
  <c r="D19" i="10" s="1"/>
  <c r="C18" i="10"/>
  <c r="D18" i="10" s="1"/>
  <c r="C17" i="10"/>
  <c r="D17" i="10" s="1"/>
  <c r="C16" i="10"/>
  <c r="D16" i="10" s="1"/>
  <c r="C15" i="10"/>
  <c r="D15" i="10" s="1"/>
  <c r="C14" i="10"/>
  <c r="D14" i="10" s="1"/>
  <c r="C13" i="10"/>
  <c r="D13" i="10" s="1"/>
  <c r="C12" i="10"/>
  <c r="D12" i="10" s="1"/>
  <c r="C11" i="10"/>
  <c r="D11" i="10" s="1"/>
  <c r="C10" i="10"/>
  <c r="D10" i="10" s="1"/>
  <c r="D9" i="10"/>
  <c r="C9" i="10"/>
  <c r="C8" i="10"/>
  <c r="D8" i="10" s="1"/>
  <c r="C7" i="10"/>
  <c r="D7" i="10" s="1"/>
  <c r="C6" i="10"/>
  <c r="D6" i="10" s="1"/>
  <c r="C5" i="10"/>
  <c r="D5" i="10" s="1"/>
  <c r="I4" i="10"/>
  <c r="C4" i="10"/>
  <c r="G4" i="10" s="1"/>
  <c r="G31" i="11" l="1"/>
  <c r="G24" i="11"/>
  <c r="D4" i="10"/>
  <c r="F2" i="9"/>
  <c r="C44" i="9"/>
  <c r="D44" i="9" s="1"/>
  <c r="C43" i="9"/>
  <c r="D43" i="9" s="1"/>
  <c r="C42" i="9"/>
  <c r="D42" i="9" s="1"/>
  <c r="C41" i="9"/>
  <c r="D41" i="9" s="1"/>
  <c r="C40" i="9"/>
  <c r="D40" i="9" s="1"/>
  <c r="C39" i="9"/>
  <c r="D39" i="9" s="1"/>
  <c r="C38" i="9"/>
  <c r="D38" i="9" s="1"/>
  <c r="C37" i="9"/>
  <c r="D37" i="9" s="1"/>
  <c r="D36" i="9"/>
  <c r="C36" i="9"/>
  <c r="C35" i="9"/>
  <c r="D35" i="9" s="1"/>
  <c r="D34" i="9"/>
  <c r="C34" i="9"/>
  <c r="C33" i="9"/>
  <c r="D33" i="9" s="1"/>
  <c r="C32" i="9"/>
  <c r="D32" i="9" s="1"/>
  <c r="C31" i="9"/>
  <c r="D31" i="9" s="1"/>
  <c r="C30" i="9"/>
  <c r="D30" i="9" s="1"/>
  <c r="C29" i="9"/>
  <c r="D29" i="9" s="1"/>
  <c r="C28" i="9"/>
  <c r="D28" i="9" s="1"/>
  <c r="C27" i="9"/>
  <c r="D27" i="9" s="1"/>
  <c r="C26" i="9"/>
  <c r="D26" i="9" s="1"/>
  <c r="C25" i="9"/>
  <c r="D25" i="9" s="1"/>
  <c r="C24" i="9"/>
  <c r="D24" i="9" s="1"/>
  <c r="C23" i="9"/>
  <c r="D23" i="9" s="1"/>
  <c r="C22" i="9"/>
  <c r="D22" i="9" s="1"/>
  <c r="C21" i="9"/>
  <c r="D21" i="9" s="1"/>
  <c r="D20" i="9"/>
  <c r="C20" i="9"/>
  <c r="C19" i="9"/>
  <c r="D19" i="9" s="1"/>
  <c r="D18" i="9"/>
  <c r="C18" i="9"/>
  <c r="C17" i="9"/>
  <c r="D17" i="9" s="1"/>
  <c r="C16" i="9"/>
  <c r="D16" i="9" s="1"/>
  <c r="C15" i="9"/>
  <c r="D15" i="9" s="1"/>
  <c r="C14" i="9"/>
  <c r="D14" i="9" s="1"/>
  <c r="C13" i="9"/>
  <c r="D13" i="9" s="1"/>
  <c r="C12" i="9"/>
  <c r="D12" i="9" s="1"/>
  <c r="C11" i="9"/>
  <c r="D11" i="9" s="1"/>
  <c r="C10" i="9"/>
  <c r="D10" i="9" s="1"/>
  <c r="C9" i="9"/>
  <c r="D9" i="9" s="1"/>
  <c r="C8" i="9"/>
  <c r="D8" i="9" s="1"/>
  <c r="C7" i="9"/>
  <c r="D7" i="9" s="1"/>
  <c r="C6" i="9"/>
  <c r="D6" i="9" s="1"/>
  <c r="I5" i="9"/>
  <c r="C5" i="9"/>
  <c r="D5" i="9" s="1"/>
  <c r="I5" i="8"/>
  <c r="E6" i="7"/>
  <c r="E5" i="7"/>
  <c r="G2" i="8"/>
  <c r="H2" i="8"/>
  <c r="I2" i="8"/>
  <c r="K2" i="8"/>
  <c r="F2" i="8"/>
  <c r="C44" i="8"/>
  <c r="D44" i="8" s="1"/>
  <c r="C43" i="8"/>
  <c r="D43" i="8" s="1"/>
  <c r="C42" i="8"/>
  <c r="D42" i="8" s="1"/>
  <c r="C41" i="8"/>
  <c r="D41" i="8" s="1"/>
  <c r="C40" i="8"/>
  <c r="D40" i="8" s="1"/>
  <c r="C39" i="8"/>
  <c r="D39" i="8" s="1"/>
  <c r="C38" i="8"/>
  <c r="D38" i="8" s="1"/>
  <c r="C37" i="8"/>
  <c r="D37" i="8" s="1"/>
  <c r="C36" i="8"/>
  <c r="D36" i="8" s="1"/>
  <c r="C35" i="8"/>
  <c r="D35" i="8" s="1"/>
  <c r="C34" i="8"/>
  <c r="D34" i="8" s="1"/>
  <c r="C33" i="8"/>
  <c r="D33" i="8" s="1"/>
  <c r="C32" i="8"/>
  <c r="D32" i="8" s="1"/>
  <c r="C31" i="8"/>
  <c r="D31" i="8" s="1"/>
  <c r="C30" i="8"/>
  <c r="D30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8" i="8"/>
  <c r="D18" i="8" s="1"/>
  <c r="C17" i="8"/>
  <c r="D17" i="8" s="1"/>
  <c r="C16" i="8"/>
  <c r="D16" i="8" s="1"/>
  <c r="C15" i="8"/>
  <c r="D15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D8" i="8" s="1"/>
  <c r="C7" i="8"/>
  <c r="D7" i="8" s="1"/>
  <c r="C6" i="8"/>
  <c r="D6" i="8" s="1"/>
  <c r="C5" i="8"/>
  <c r="E43" i="7"/>
  <c r="E12" i="29" l="1"/>
  <c r="F5" i="8"/>
  <c r="G5" i="8" s="1"/>
  <c r="E12" i="22"/>
  <c r="D5" i="8"/>
  <c r="G7" i="10"/>
  <c r="G11" i="10"/>
  <c r="G15" i="10"/>
  <c r="G19" i="10"/>
  <c r="G23" i="10"/>
  <c r="G27" i="10"/>
  <c r="G31" i="10"/>
  <c r="G35" i="10"/>
  <c r="G39" i="10"/>
  <c r="G6" i="10"/>
  <c r="G9" i="10"/>
  <c r="G21" i="10"/>
  <c r="G29" i="10"/>
  <c r="G37" i="10"/>
  <c r="G43" i="10"/>
  <c r="G18" i="10"/>
  <c r="G26" i="10"/>
  <c r="G34" i="10"/>
  <c r="G42" i="10"/>
  <c r="G8" i="10"/>
  <c r="G12" i="10"/>
  <c r="G16" i="10"/>
  <c r="G20" i="10"/>
  <c r="G24" i="10"/>
  <c r="G28" i="10"/>
  <c r="G32" i="10"/>
  <c r="G36" i="10"/>
  <c r="G40" i="10"/>
  <c r="G5" i="10"/>
  <c r="G13" i="10"/>
  <c r="G17" i="10"/>
  <c r="G25" i="10"/>
  <c r="G33" i="10"/>
  <c r="G41" i="10"/>
  <c r="G10" i="10"/>
  <c r="G14" i="10"/>
  <c r="G22" i="10"/>
  <c r="G30" i="10"/>
  <c r="G38" i="10"/>
  <c r="I43" i="10"/>
  <c r="I39" i="10"/>
  <c r="I35" i="10"/>
  <c r="I23" i="10"/>
  <c r="I19" i="10"/>
  <c r="I10" i="10"/>
  <c r="I6" i="10"/>
  <c r="I5" i="10"/>
  <c r="K4" i="10"/>
  <c r="I32" i="10"/>
  <c r="I28" i="10"/>
  <c r="I20" i="10"/>
  <c r="I11" i="10"/>
  <c r="I7" i="10"/>
  <c r="O4" i="10"/>
  <c r="I40" i="10"/>
  <c r="I36" i="10"/>
  <c r="I24" i="10"/>
  <c r="I17" i="10"/>
  <c r="I31" i="10"/>
  <c r="I27" i="10"/>
  <c r="I16" i="10"/>
  <c r="I14" i="10"/>
  <c r="I41" i="10"/>
  <c r="I21" i="10"/>
  <c r="I42" i="10"/>
  <c r="I12" i="10"/>
  <c r="I22" i="10"/>
  <c r="I18" i="10"/>
  <c r="I37" i="10"/>
  <c r="I33" i="10"/>
  <c r="I38" i="10"/>
  <c r="I15" i="10"/>
  <c r="I34" i="10"/>
  <c r="I29" i="10"/>
  <c r="I8" i="10"/>
  <c r="I25" i="10"/>
  <c r="I13" i="10"/>
  <c r="I30" i="10"/>
  <c r="I9" i="10"/>
  <c r="I26" i="10"/>
  <c r="E10" i="8"/>
  <c r="E16" i="9"/>
  <c r="E12" i="8"/>
  <c r="E24" i="8"/>
  <c r="E32" i="8"/>
  <c r="E40" i="8"/>
  <c r="E8" i="8"/>
  <c r="E20" i="8"/>
  <c r="E28" i="8"/>
  <c r="E44" i="8"/>
  <c r="E36" i="8"/>
  <c r="E43" i="8"/>
  <c r="E39" i="8"/>
  <c r="E35" i="8"/>
  <c r="E31" i="8"/>
  <c r="E27" i="8"/>
  <c r="E23" i="8"/>
  <c r="E19" i="8"/>
  <c r="E15" i="8"/>
  <c r="E11" i="8"/>
  <c r="E7" i="8"/>
  <c r="E42" i="8"/>
  <c r="E38" i="8"/>
  <c r="E34" i="8"/>
  <c r="E30" i="8"/>
  <c r="E26" i="8"/>
  <c r="E18" i="8"/>
  <c r="E14" i="8"/>
  <c r="E41" i="8"/>
  <c r="E37" i="8"/>
  <c r="E33" i="8"/>
  <c r="E29" i="8"/>
  <c r="E25" i="8"/>
  <c r="E17" i="8"/>
  <c r="E13" i="8"/>
  <c r="E9" i="8"/>
  <c r="E15" i="9"/>
  <c r="E18" i="9"/>
  <c r="E7" i="9"/>
  <c r="E9" i="9"/>
  <c r="E11" i="9"/>
  <c r="E13" i="9"/>
  <c r="E43" i="9"/>
  <c r="E41" i="9"/>
  <c r="E39" i="9"/>
  <c r="E37" i="9"/>
  <c r="E35" i="9"/>
  <c r="E33" i="9"/>
  <c r="E31" i="9"/>
  <c r="E29" i="9"/>
  <c r="E27" i="9"/>
  <c r="E25" i="9"/>
  <c r="E23" i="9"/>
  <c r="E21" i="9"/>
  <c r="E19" i="9"/>
  <c r="E17" i="9"/>
  <c r="E14" i="9"/>
  <c r="E12" i="9"/>
  <c r="E10" i="9"/>
  <c r="E8" i="9"/>
  <c r="E6" i="9"/>
  <c r="E44" i="9"/>
  <c r="E42" i="9"/>
  <c r="E40" i="9"/>
  <c r="E38" i="9"/>
  <c r="E36" i="9"/>
  <c r="E34" i="9"/>
  <c r="E32" i="9"/>
  <c r="E30" i="9"/>
  <c r="E28" i="9"/>
  <c r="E26" i="9"/>
  <c r="E24" i="9"/>
  <c r="E22" i="9"/>
  <c r="E20" i="9"/>
  <c r="F5" i="9"/>
  <c r="G5" i="9" s="1"/>
  <c r="E6" i="8"/>
  <c r="F22" i="9" l="1"/>
  <c r="G22" i="9" s="1"/>
  <c r="E29" i="27"/>
  <c r="E29" i="23"/>
  <c r="F30" i="9"/>
  <c r="G30" i="9" s="1"/>
  <c r="E37" i="27"/>
  <c r="E37" i="23"/>
  <c r="F6" i="9"/>
  <c r="I7" i="9" s="1"/>
  <c r="E13" i="27"/>
  <c r="E13" i="23"/>
  <c r="F24" i="9"/>
  <c r="G24" i="9" s="1"/>
  <c r="E31" i="27"/>
  <c r="E31" i="23"/>
  <c r="F32" i="9"/>
  <c r="G32" i="9" s="1"/>
  <c r="E39" i="27"/>
  <c r="E39" i="23"/>
  <c r="F40" i="9"/>
  <c r="G40" i="9" s="1"/>
  <c r="E47" i="27"/>
  <c r="E47" i="23"/>
  <c r="F8" i="9"/>
  <c r="G8" i="9" s="1"/>
  <c r="E15" i="27"/>
  <c r="E15" i="23"/>
  <c r="F17" i="9"/>
  <c r="G17" i="9" s="1"/>
  <c r="E24" i="27"/>
  <c r="E24" i="23"/>
  <c r="F25" i="9"/>
  <c r="G25" i="9" s="1"/>
  <c r="E32" i="27"/>
  <c r="E32" i="23"/>
  <c r="F33" i="9"/>
  <c r="G33" i="9" s="1"/>
  <c r="E40" i="27"/>
  <c r="E40" i="23"/>
  <c r="F41" i="9"/>
  <c r="G41" i="9" s="1"/>
  <c r="E48" i="27"/>
  <c r="E48" i="23"/>
  <c r="F9" i="9"/>
  <c r="G9" i="9" s="1"/>
  <c r="E16" i="27"/>
  <c r="E16" i="23"/>
  <c r="F26" i="9"/>
  <c r="G26" i="9" s="1"/>
  <c r="E33" i="27"/>
  <c r="E33" i="23"/>
  <c r="F34" i="9"/>
  <c r="G34" i="9" s="1"/>
  <c r="E41" i="27"/>
  <c r="E41" i="23"/>
  <c r="F42" i="9"/>
  <c r="G42" i="9" s="1"/>
  <c r="E49" i="27"/>
  <c r="E49" i="23"/>
  <c r="F10" i="9"/>
  <c r="G10" i="9" s="1"/>
  <c r="E17" i="27"/>
  <c r="E17" i="23"/>
  <c r="F19" i="9"/>
  <c r="G19" i="9" s="1"/>
  <c r="E26" i="27"/>
  <c r="E26" i="23"/>
  <c r="F27" i="9"/>
  <c r="G27" i="9" s="1"/>
  <c r="E34" i="27"/>
  <c r="E34" i="23"/>
  <c r="F35" i="9"/>
  <c r="G35" i="9" s="1"/>
  <c r="E42" i="27"/>
  <c r="E42" i="23"/>
  <c r="F43" i="9"/>
  <c r="G43" i="9" s="1"/>
  <c r="E50" i="27"/>
  <c r="E50" i="23"/>
  <c r="F7" i="9"/>
  <c r="G7" i="9" s="1"/>
  <c r="E14" i="27"/>
  <c r="E14" i="23"/>
  <c r="F16" i="9"/>
  <c r="G16" i="9" s="1"/>
  <c r="E23" i="27"/>
  <c r="E23" i="23"/>
  <c r="F20" i="9"/>
  <c r="G20" i="9" s="1"/>
  <c r="E27" i="27"/>
  <c r="E27" i="23"/>
  <c r="F28" i="9"/>
  <c r="G28" i="9" s="1"/>
  <c r="E35" i="27"/>
  <c r="E35" i="23"/>
  <c r="F36" i="9"/>
  <c r="G36" i="9" s="1"/>
  <c r="E43" i="27"/>
  <c r="E43" i="23"/>
  <c r="E51" i="27"/>
  <c r="E51" i="23"/>
  <c r="F12" i="9"/>
  <c r="G12" i="9" s="1"/>
  <c r="E19" i="27"/>
  <c r="E19" i="23"/>
  <c r="F21" i="9"/>
  <c r="G21" i="9" s="1"/>
  <c r="E28" i="27"/>
  <c r="E28" i="23"/>
  <c r="F29" i="9"/>
  <c r="G29" i="9" s="1"/>
  <c r="E36" i="27"/>
  <c r="E36" i="23"/>
  <c r="F37" i="9"/>
  <c r="G37" i="9" s="1"/>
  <c r="E44" i="27"/>
  <c r="E44" i="23"/>
  <c r="F13" i="9"/>
  <c r="G13" i="9" s="1"/>
  <c r="E20" i="27"/>
  <c r="E20" i="23"/>
  <c r="F18" i="9"/>
  <c r="G18" i="9" s="1"/>
  <c r="E25" i="27"/>
  <c r="E25" i="23"/>
  <c r="F38" i="9"/>
  <c r="G38" i="9" s="1"/>
  <c r="E45" i="27"/>
  <c r="E45" i="23"/>
  <c r="F14" i="9"/>
  <c r="G14" i="9" s="1"/>
  <c r="E21" i="27"/>
  <c r="E21" i="23"/>
  <c r="F23" i="9"/>
  <c r="G23" i="9" s="1"/>
  <c r="E30" i="27"/>
  <c r="E30" i="23"/>
  <c r="F31" i="9"/>
  <c r="G31" i="9" s="1"/>
  <c r="E38" i="27"/>
  <c r="E38" i="23"/>
  <c r="F39" i="9"/>
  <c r="G39" i="9" s="1"/>
  <c r="E46" i="27"/>
  <c r="E46" i="23"/>
  <c r="F11" i="9"/>
  <c r="G11" i="9" s="1"/>
  <c r="E18" i="27"/>
  <c r="E18" i="23"/>
  <c r="F15" i="9"/>
  <c r="G15" i="9" s="1"/>
  <c r="E22" i="27"/>
  <c r="E22" i="23"/>
  <c r="F25" i="8"/>
  <c r="E32" i="29"/>
  <c r="E32" i="22"/>
  <c r="F29" i="8"/>
  <c r="G29" i="8" s="1"/>
  <c r="E36" i="29"/>
  <c r="G36" i="29" s="1"/>
  <c r="E36" i="22"/>
  <c r="F34" i="8"/>
  <c r="G34" i="8" s="1"/>
  <c r="E41" i="29"/>
  <c r="E41" i="22"/>
  <c r="F39" i="8"/>
  <c r="G39" i="8" s="1"/>
  <c r="E46" i="29"/>
  <c r="E46" i="22"/>
  <c r="F40" i="8"/>
  <c r="E47" i="29"/>
  <c r="E47" i="22"/>
  <c r="F6" i="8"/>
  <c r="G6" i="8" s="1"/>
  <c r="E13" i="29"/>
  <c r="E13" i="22"/>
  <c r="F17" i="8"/>
  <c r="G17" i="8" s="1"/>
  <c r="E24" i="29"/>
  <c r="E24" i="22"/>
  <c r="F33" i="8"/>
  <c r="G33" i="8" s="1"/>
  <c r="E40" i="29"/>
  <c r="G40" i="29" s="1"/>
  <c r="E40" i="22"/>
  <c r="F22" i="8"/>
  <c r="E29" i="29"/>
  <c r="E29" i="22"/>
  <c r="F38" i="8"/>
  <c r="G38" i="8" s="1"/>
  <c r="E45" i="29"/>
  <c r="E45" i="22"/>
  <c r="F11" i="8"/>
  <c r="E18" i="29"/>
  <c r="E18" i="22"/>
  <c r="F27" i="8"/>
  <c r="E34" i="29"/>
  <c r="E34" i="22"/>
  <c r="F43" i="8"/>
  <c r="E50" i="29"/>
  <c r="E50" i="22"/>
  <c r="F28" i="8"/>
  <c r="G28" i="8" s="1"/>
  <c r="E35" i="29"/>
  <c r="E35" i="22"/>
  <c r="F32" i="8"/>
  <c r="G32" i="8" s="1"/>
  <c r="E39" i="29"/>
  <c r="E39" i="22"/>
  <c r="G12" i="22"/>
  <c r="F12" i="22"/>
  <c r="F13" i="8"/>
  <c r="G13" i="8" s="1"/>
  <c r="E20" i="29"/>
  <c r="E20" i="22"/>
  <c r="F18" i="8"/>
  <c r="E25" i="29"/>
  <c r="E25" i="22"/>
  <c r="F7" i="8"/>
  <c r="G7" i="8" s="1"/>
  <c r="E14" i="29"/>
  <c r="E14" i="22"/>
  <c r="F23" i="8"/>
  <c r="E30" i="29"/>
  <c r="E30" i="22"/>
  <c r="F44" i="8"/>
  <c r="N4" i="8" s="1"/>
  <c r="P4" i="8" s="1"/>
  <c r="C2" i="29" s="1"/>
  <c r="E51" i="29"/>
  <c r="E51" i="22"/>
  <c r="F12" i="8"/>
  <c r="E19" i="29"/>
  <c r="E19" i="22"/>
  <c r="F21" i="8"/>
  <c r="E28" i="29"/>
  <c r="E28" i="22"/>
  <c r="F37" i="8"/>
  <c r="E44" i="29"/>
  <c r="G44" i="29" s="1"/>
  <c r="E44" i="22"/>
  <c r="F26" i="8"/>
  <c r="I27" i="8" s="1"/>
  <c r="E33" i="29"/>
  <c r="E33" i="22"/>
  <c r="F42" i="8"/>
  <c r="E49" i="29"/>
  <c r="E49" i="22"/>
  <c r="F15" i="8"/>
  <c r="G15" i="8" s="1"/>
  <c r="E22" i="29"/>
  <c r="E22" i="22"/>
  <c r="F31" i="8"/>
  <c r="E38" i="29"/>
  <c r="E38" i="22"/>
  <c r="F36" i="8"/>
  <c r="E43" i="29"/>
  <c r="E43" i="22"/>
  <c r="F20" i="8"/>
  <c r="G20" i="8" s="1"/>
  <c r="E27" i="29"/>
  <c r="E27" i="22"/>
  <c r="F24" i="8"/>
  <c r="E31" i="29"/>
  <c r="E31" i="22"/>
  <c r="F9" i="8"/>
  <c r="E16" i="29"/>
  <c r="E16" i="22"/>
  <c r="F41" i="8"/>
  <c r="G41" i="8" s="1"/>
  <c r="E48" i="29"/>
  <c r="G48" i="29" s="1"/>
  <c r="E48" i="22"/>
  <c r="F14" i="8"/>
  <c r="I15" i="8" s="1"/>
  <c r="E21" i="29"/>
  <c r="E21" i="22"/>
  <c r="F30" i="8"/>
  <c r="E37" i="29"/>
  <c r="E37" i="22"/>
  <c r="F19" i="8"/>
  <c r="G19" i="8" s="1"/>
  <c r="E26" i="29"/>
  <c r="E26" i="22"/>
  <c r="F35" i="8"/>
  <c r="G35" i="8" s="1"/>
  <c r="E42" i="29"/>
  <c r="E42" i="22"/>
  <c r="F8" i="8"/>
  <c r="I9" i="8" s="1"/>
  <c r="E15" i="29"/>
  <c r="E15" i="22"/>
  <c r="F16" i="8"/>
  <c r="G16" i="8" s="1"/>
  <c r="E23" i="29"/>
  <c r="E23" i="22"/>
  <c r="F10" i="8"/>
  <c r="E17" i="29"/>
  <c r="E17" i="22"/>
  <c r="F12" i="29"/>
  <c r="G12" i="29"/>
  <c r="I16" i="8"/>
  <c r="I33" i="8"/>
  <c r="I26" i="8"/>
  <c r="G25" i="8"/>
  <c r="I6" i="8"/>
  <c r="I23" i="8"/>
  <c r="G22" i="8"/>
  <c r="I12" i="8"/>
  <c r="G11" i="8"/>
  <c r="I28" i="8"/>
  <c r="G27" i="8"/>
  <c r="I44" i="8"/>
  <c r="G43" i="8"/>
  <c r="I10" i="8"/>
  <c r="G9" i="8"/>
  <c r="I31" i="8"/>
  <c r="G30" i="8"/>
  <c r="I25" i="8"/>
  <c r="G24" i="8"/>
  <c r="I19" i="8"/>
  <c r="G18" i="8"/>
  <c r="G8" i="8"/>
  <c r="I36" i="8"/>
  <c r="I17" i="8"/>
  <c r="I20" i="8"/>
  <c r="I40" i="8"/>
  <c r="I22" i="8"/>
  <c r="G21" i="8"/>
  <c r="I38" i="8"/>
  <c r="G37" i="8"/>
  <c r="I8" i="8"/>
  <c r="I43" i="8"/>
  <c r="G42" i="8"/>
  <c r="G3" i="10"/>
  <c r="R4" i="10"/>
  <c r="I3" i="10"/>
  <c r="L4" i="10" s="1"/>
  <c r="L17" i="10" s="1"/>
  <c r="I34" i="8"/>
  <c r="I7" i="8"/>
  <c r="I35" i="8"/>
  <c r="I18" i="8"/>
  <c r="F44" i="9"/>
  <c r="G44" i="9" s="1"/>
  <c r="I16" i="9"/>
  <c r="I21" i="8"/>
  <c r="I27" i="9"/>
  <c r="I11" i="9"/>
  <c r="I19" i="9"/>
  <c r="I21" i="9"/>
  <c r="I37" i="9"/>
  <c r="I13" i="9"/>
  <c r="I22" i="9"/>
  <c r="I8" i="9"/>
  <c r="I20" i="9"/>
  <c r="I10" i="9"/>
  <c r="I23" i="9"/>
  <c r="I32" i="9"/>
  <c r="I14" i="9"/>
  <c r="I6" i="9"/>
  <c r="I25" i="9"/>
  <c r="I33" i="9"/>
  <c r="I18" i="9"/>
  <c r="I26" i="9"/>
  <c r="I44" i="9" l="1"/>
  <c r="I24" i="9"/>
  <c r="I29" i="9"/>
  <c r="I41" i="9"/>
  <c r="I43" i="9"/>
  <c r="I34" i="9"/>
  <c r="I31" i="9"/>
  <c r="I30" i="9"/>
  <c r="G6" i="9"/>
  <c r="F18" i="27"/>
  <c r="G18" i="27"/>
  <c r="G44" i="27"/>
  <c r="F44" i="27"/>
  <c r="G48" i="27"/>
  <c r="F48" i="27"/>
  <c r="F31" i="23"/>
  <c r="G31" i="23"/>
  <c r="G13" i="27"/>
  <c r="F13" i="27"/>
  <c r="G22" i="27"/>
  <c r="F22" i="27"/>
  <c r="G25" i="23"/>
  <c r="F25" i="23"/>
  <c r="F20" i="27"/>
  <c r="G20" i="27"/>
  <c r="G14" i="23"/>
  <c r="F14" i="23"/>
  <c r="F50" i="27"/>
  <c r="G50" i="27"/>
  <c r="G26" i="23"/>
  <c r="F26" i="23"/>
  <c r="I12" i="9"/>
  <c r="I15" i="9"/>
  <c r="I17" i="9"/>
  <c r="F46" i="23"/>
  <c r="G46" i="23"/>
  <c r="F38" i="27"/>
  <c r="G38" i="27"/>
  <c r="G45" i="23"/>
  <c r="F45" i="23"/>
  <c r="G25" i="27"/>
  <c r="F25" i="27"/>
  <c r="G36" i="23"/>
  <c r="F36" i="23"/>
  <c r="G28" i="27"/>
  <c r="F28" i="27"/>
  <c r="G43" i="27"/>
  <c r="F43" i="27"/>
  <c r="G23" i="23"/>
  <c r="F23" i="23"/>
  <c r="F14" i="27"/>
  <c r="G14" i="27"/>
  <c r="G34" i="23"/>
  <c r="F34" i="23"/>
  <c r="G26" i="27"/>
  <c r="F26" i="27"/>
  <c r="G41" i="23"/>
  <c r="F41" i="23"/>
  <c r="G33" i="27"/>
  <c r="F33" i="27"/>
  <c r="G40" i="23"/>
  <c r="F40" i="23"/>
  <c r="F32" i="27"/>
  <c r="G32" i="27"/>
  <c r="F47" i="23"/>
  <c r="G47" i="23"/>
  <c r="G39" i="27"/>
  <c r="F39" i="27"/>
  <c r="F37" i="23"/>
  <c r="G37" i="23"/>
  <c r="G29" i="27"/>
  <c r="F29" i="27"/>
  <c r="G22" i="23"/>
  <c r="F22" i="23"/>
  <c r="G30" i="23"/>
  <c r="F30" i="23"/>
  <c r="G21" i="27"/>
  <c r="F21" i="27"/>
  <c r="G20" i="23"/>
  <c r="F20" i="23"/>
  <c r="F19" i="23"/>
  <c r="G19" i="23"/>
  <c r="G51" i="27"/>
  <c r="F51" i="27"/>
  <c r="F35" i="23"/>
  <c r="G35" i="23"/>
  <c r="G27" i="27"/>
  <c r="F27" i="27"/>
  <c r="F50" i="23"/>
  <c r="G50" i="23"/>
  <c r="F42" i="27"/>
  <c r="G42" i="27"/>
  <c r="F17" i="23"/>
  <c r="G17" i="23"/>
  <c r="G49" i="27"/>
  <c r="F49" i="27"/>
  <c r="G16" i="23"/>
  <c r="F16" i="23"/>
  <c r="G24" i="23"/>
  <c r="F24" i="23"/>
  <c r="G15" i="27"/>
  <c r="F15" i="27"/>
  <c r="I35" i="9"/>
  <c r="F38" i="23"/>
  <c r="G38" i="23"/>
  <c r="G30" i="27"/>
  <c r="F30" i="27"/>
  <c r="G28" i="23"/>
  <c r="F28" i="23"/>
  <c r="G19" i="27"/>
  <c r="F19" i="27"/>
  <c r="F43" i="23"/>
  <c r="G43" i="23"/>
  <c r="G35" i="27"/>
  <c r="F35" i="27"/>
  <c r="G17" i="27"/>
  <c r="F17" i="27"/>
  <c r="G33" i="23"/>
  <c r="F33" i="23"/>
  <c r="G16" i="27"/>
  <c r="F16" i="27"/>
  <c r="G32" i="23"/>
  <c r="F32" i="23"/>
  <c r="F24" i="27"/>
  <c r="G24" i="27"/>
  <c r="F39" i="23"/>
  <c r="G39" i="23"/>
  <c r="G31" i="27"/>
  <c r="F31" i="27"/>
  <c r="F29" i="23"/>
  <c r="G29" i="23"/>
  <c r="I42" i="9"/>
  <c r="I9" i="9"/>
  <c r="I40" i="9"/>
  <c r="I39" i="9"/>
  <c r="I36" i="9"/>
  <c r="I38" i="9"/>
  <c r="I28" i="9"/>
  <c r="G18" i="23"/>
  <c r="F18" i="23"/>
  <c r="G46" i="27"/>
  <c r="F46" i="27"/>
  <c r="G21" i="23"/>
  <c r="F21" i="23"/>
  <c r="G45" i="27"/>
  <c r="F45" i="27"/>
  <c r="F44" i="23"/>
  <c r="G44" i="23"/>
  <c r="G36" i="27"/>
  <c r="F36" i="27"/>
  <c r="F51" i="23"/>
  <c r="G51" i="23"/>
  <c r="F27" i="23"/>
  <c r="G27" i="23"/>
  <c r="G23" i="27"/>
  <c r="F23" i="27"/>
  <c r="G42" i="23"/>
  <c r="F42" i="23"/>
  <c r="G34" i="27"/>
  <c r="F34" i="27"/>
  <c r="G49" i="23"/>
  <c r="F49" i="23"/>
  <c r="G41" i="27"/>
  <c r="F41" i="27"/>
  <c r="G48" i="23"/>
  <c r="F48" i="23"/>
  <c r="F40" i="27"/>
  <c r="G40" i="27"/>
  <c r="F15" i="23"/>
  <c r="G15" i="23"/>
  <c r="G47" i="27"/>
  <c r="F47" i="27"/>
  <c r="G13" i="23"/>
  <c r="F13" i="23"/>
  <c r="G37" i="27"/>
  <c r="F37" i="27"/>
  <c r="G23" i="22"/>
  <c r="F23" i="22"/>
  <c r="F14" i="22"/>
  <c r="G14" i="22"/>
  <c r="G25" i="29"/>
  <c r="F25" i="29"/>
  <c r="G24" i="29"/>
  <c r="F24" i="29"/>
  <c r="G17" i="22"/>
  <c r="F17" i="22"/>
  <c r="G38" i="22"/>
  <c r="F38" i="22"/>
  <c r="G22" i="29"/>
  <c r="F22" i="29"/>
  <c r="G44" i="22"/>
  <c r="F44" i="22"/>
  <c r="F28" i="29"/>
  <c r="G28" i="29"/>
  <c r="G12" i="8"/>
  <c r="I13" i="8"/>
  <c r="G30" i="22"/>
  <c r="F30" i="22"/>
  <c r="G14" i="29"/>
  <c r="F14" i="29"/>
  <c r="G50" i="22"/>
  <c r="F50" i="22"/>
  <c r="G34" i="29"/>
  <c r="F34" i="29"/>
  <c r="G29" i="22"/>
  <c r="F29" i="22"/>
  <c r="I40" i="29"/>
  <c r="L40" i="29"/>
  <c r="G47" i="22"/>
  <c r="F47" i="22"/>
  <c r="F46" i="29"/>
  <c r="G46" i="29"/>
  <c r="F32" i="22"/>
  <c r="G32" i="22"/>
  <c r="F15" i="29"/>
  <c r="G15" i="29"/>
  <c r="G37" i="22"/>
  <c r="F37" i="22"/>
  <c r="G21" i="29"/>
  <c r="F21" i="29"/>
  <c r="G31" i="22"/>
  <c r="F31" i="22"/>
  <c r="G36" i="8"/>
  <c r="I37" i="8"/>
  <c r="G19" i="29"/>
  <c r="F19" i="29"/>
  <c r="F40" i="29"/>
  <c r="F39" i="29"/>
  <c r="G39" i="29"/>
  <c r="G34" i="22"/>
  <c r="F34" i="22"/>
  <c r="G18" i="29"/>
  <c r="F18" i="29"/>
  <c r="F40" i="22"/>
  <c r="G40" i="22"/>
  <c r="G46" i="22"/>
  <c r="F46" i="22"/>
  <c r="G41" i="29"/>
  <c r="F41" i="29"/>
  <c r="G44" i="8"/>
  <c r="F23" i="29"/>
  <c r="G23" i="29"/>
  <c r="G37" i="29"/>
  <c r="F37" i="29"/>
  <c r="G31" i="29"/>
  <c r="F31" i="29"/>
  <c r="G26" i="8"/>
  <c r="I42" i="8"/>
  <c r="K5" i="8"/>
  <c r="I39" i="8"/>
  <c r="G14" i="8"/>
  <c r="F17" i="29"/>
  <c r="G17" i="29"/>
  <c r="G42" i="22"/>
  <c r="F42" i="22"/>
  <c r="G26" i="29"/>
  <c r="F26" i="29"/>
  <c r="F48" i="22"/>
  <c r="G48" i="22"/>
  <c r="G16" i="29"/>
  <c r="F16" i="29"/>
  <c r="G43" i="22"/>
  <c r="F43" i="22"/>
  <c r="F38" i="29"/>
  <c r="G38" i="29"/>
  <c r="G33" i="22"/>
  <c r="F33" i="22"/>
  <c r="I44" i="29"/>
  <c r="L44" i="29"/>
  <c r="G51" i="22"/>
  <c r="F51" i="22"/>
  <c r="G30" i="29"/>
  <c r="F30" i="29"/>
  <c r="F20" i="22"/>
  <c r="G20" i="22"/>
  <c r="L12" i="22"/>
  <c r="I12" i="22"/>
  <c r="G35" i="22"/>
  <c r="F35" i="22"/>
  <c r="F50" i="29"/>
  <c r="G50" i="29"/>
  <c r="G45" i="22"/>
  <c r="F45" i="22"/>
  <c r="G29" i="29"/>
  <c r="F29" i="29"/>
  <c r="G13" i="22"/>
  <c r="F13" i="22"/>
  <c r="F48" i="29"/>
  <c r="G47" i="29"/>
  <c r="F47" i="29"/>
  <c r="F36" i="22"/>
  <c r="G36" i="22"/>
  <c r="G32" i="29"/>
  <c r="F32" i="29"/>
  <c r="G27" i="29"/>
  <c r="F27" i="29"/>
  <c r="F22" i="22"/>
  <c r="G22" i="22"/>
  <c r="G49" i="29"/>
  <c r="F49" i="29"/>
  <c r="F28" i="22"/>
  <c r="G28" i="22"/>
  <c r="I14" i="8"/>
  <c r="G26" i="22"/>
  <c r="F26" i="22"/>
  <c r="F16" i="22"/>
  <c r="G16" i="22"/>
  <c r="I30" i="8"/>
  <c r="I29" i="8"/>
  <c r="I12" i="29"/>
  <c r="L12" i="29"/>
  <c r="G10" i="8"/>
  <c r="I11" i="8"/>
  <c r="G15" i="22"/>
  <c r="F15" i="22"/>
  <c r="F42" i="29"/>
  <c r="G42" i="29"/>
  <c r="G21" i="22"/>
  <c r="F21" i="22"/>
  <c r="I48" i="29"/>
  <c r="L48" i="29"/>
  <c r="G27" i="22"/>
  <c r="F27" i="22"/>
  <c r="F44" i="29"/>
  <c r="G43" i="29"/>
  <c r="F43" i="29"/>
  <c r="G31" i="8"/>
  <c r="I32" i="8"/>
  <c r="G49" i="22"/>
  <c r="F49" i="22"/>
  <c r="F33" i="29"/>
  <c r="G33" i="29"/>
  <c r="G19" i="22"/>
  <c r="F19" i="22"/>
  <c r="G51" i="29"/>
  <c r="F51" i="29"/>
  <c r="G23" i="8"/>
  <c r="G4" i="8" s="1"/>
  <c r="I24" i="8"/>
  <c r="G25" i="22"/>
  <c r="F25" i="22"/>
  <c r="G20" i="29"/>
  <c r="F20" i="29"/>
  <c r="G39" i="22"/>
  <c r="F39" i="22"/>
  <c r="F36" i="29"/>
  <c r="G35" i="29"/>
  <c r="F35" i="29"/>
  <c r="G18" i="22"/>
  <c r="F18" i="22"/>
  <c r="G45" i="29"/>
  <c r="F45" i="29"/>
  <c r="F24" i="22"/>
  <c r="G24" i="22"/>
  <c r="F13" i="29"/>
  <c r="G13" i="29"/>
  <c r="G40" i="8"/>
  <c r="I41" i="8"/>
  <c r="G41" i="22"/>
  <c r="F41" i="22"/>
  <c r="I36" i="29"/>
  <c r="L36" i="29"/>
  <c r="G4" i="9"/>
  <c r="T4" i="10"/>
  <c r="S4" i="10"/>
  <c r="Q4" i="10"/>
  <c r="M4" i="10"/>
  <c r="H4" i="10"/>
  <c r="L14" i="10"/>
  <c r="J4" i="10"/>
  <c r="N4" i="9"/>
  <c r="K5" i="9"/>
  <c r="I4" i="9" l="1"/>
  <c r="J5" i="9" s="1"/>
  <c r="C6" i="23" s="1"/>
  <c r="I13" i="23"/>
  <c r="L13" i="23"/>
  <c r="I42" i="23"/>
  <c r="L42" i="23"/>
  <c r="I24" i="27"/>
  <c r="M25" i="27" s="1"/>
  <c r="L24" i="27"/>
  <c r="I43" i="23"/>
  <c r="L43" i="23"/>
  <c r="I38" i="23"/>
  <c r="L38" i="23"/>
  <c r="I16" i="23"/>
  <c r="L16" i="23"/>
  <c r="I22" i="23"/>
  <c r="L22" i="23"/>
  <c r="I34" i="23"/>
  <c r="L34" i="23"/>
  <c r="I28" i="27"/>
  <c r="M29" i="27" s="1"/>
  <c r="L28" i="27"/>
  <c r="I31" i="23"/>
  <c r="L31" i="23"/>
  <c r="I27" i="27"/>
  <c r="M28" i="27" s="1"/>
  <c r="L27" i="27"/>
  <c r="M13" i="27"/>
  <c r="I51" i="27"/>
  <c r="M52" i="27" s="1"/>
  <c r="N52" i="27" s="1"/>
  <c r="L51" i="27"/>
  <c r="I20" i="23"/>
  <c r="L20" i="23"/>
  <c r="I30" i="23"/>
  <c r="L30" i="23"/>
  <c r="I29" i="27"/>
  <c r="M30" i="27" s="1"/>
  <c r="L29" i="27"/>
  <c r="I39" i="27"/>
  <c r="M40" i="27" s="1"/>
  <c r="L39" i="27"/>
  <c r="I33" i="27"/>
  <c r="M34" i="27" s="1"/>
  <c r="L33" i="27"/>
  <c r="I26" i="27"/>
  <c r="M27" i="27" s="1"/>
  <c r="L26" i="27"/>
  <c r="I43" i="27"/>
  <c r="M44" i="27" s="1"/>
  <c r="L43" i="27"/>
  <c r="I36" i="23"/>
  <c r="L36" i="23"/>
  <c r="I45" i="23"/>
  <c r="L45" i="23"/>
  <c r="I18" i="27"/>
  <c r="M19" i="27" s="1"/>
  <c r="L18" i="27"/>
  <c r="I48" i="23"/>
  <c r="L48" i="23"/>
  <c r="I49" i="23"/>
  <c r="L49" i="23"/>
  <c r="I36" i="27"/>
  <c r="M37" i="27" s="1"/>
  <c r="L36" i="27"/>
  <c r="I45" i="27"/>
  <c r="M46" i="27" s="1"/>
  <c r="L45" i="27"/>
  <c r="I46" i="27"/>
  <c r="M47" i="27" s="1"/>
  <c r="L46" i="27"/>
  <c r="I15" i="27"/>
  <c r="M16" i="27" s="1"/>
  <c r="L15" i="27"/>
  <c r="I21" i="27"/>
  <c r="M22" i="27" s="1"/>
  <c r="L21" i="27"/>
  <c r="I40" i="23"/>
  <c r="L40" i="23"/>
  <c r="I41" i="23"/>
  <c r="L41" i="23"/>
  <c r="I23" i="23"/>
  <c r="L23" i="23"/>
  <c r="I25" i="27"/>
  <c r="M26" i="27" s="1"/>
  <c r="L25" i="27"/>
  <c r="I50" i="27"/>
  <c r="M51" i="27" s="1"/>
  <c r="L50" i="27"/>
  <c r="I20" i="27"/>
  <c r="M21" i="27" s="1"/>
  <c r="L20" i="27"/>
  <c r="I40" i="27"/>
  <c r="M41" i="27" s="1"/>
  <c r="L40" i="27"/>
  <c r="I51" i="23"/>
  <c r="L51" i="23"/>
  <c r="I44" i="23"/>
  <c r="L44" i="23"/>
  <c r="I31" i="27"/>
  <c r="M32" i="27" s="1"/>
  <c r="L31" i="27"/>
  <c r="I16" i="27"/>
  <c r="M17" i="27" s="1"/>
  <c r="L16" i="27"/>
  <c r="I17" i="27"/>
  <c r="M18" i="27" s="1"/>
  <c r="L17" i="27"/>
  <c r="I28" i="23"/>
  <c r="L28" i="23"/>
  <c r="I42" i="27"/>
  <c r="M43" i="27" s="1"/>
  <c r="L42" i="27"/>
  <c r="I32" i="27"/>
  <c r="M33" i="27" s="1"/>
  <c r="L32" i="27"/>
  <c r="I14" i="27"/>
  <c r="M15" i="27" s="1"/>
  <c r="L14" i="27"/>
  <c r="I46" i="23"/>
  <c r="L46" i="23"/>
  <c r="I22" i="27"/>
  <c r="M23" i="27" s="1"/>
  <c r="L22" i="27"/>
  <c r="I44" i="27"/>
  <c r="M45" i="27" s="1"/>
  <c r="L44" i="27"/>
  <c r="I37" i="27"/>
  <c r="M38" i="27" s="1"/>
  <c r="L37" i="27"/>
  <c r="I47" i="27"/>
  <c r="M48" i="27" s="1"/>
  <c r="L47" i="27"/>
  <c r="I41" i="27"/>
  <c r="M42" i="27" s="1"/>
  <c r="L41" i="27"/>
  <c r="I34" i="27"/>
  <c r="M35" i="27" s="1"/>
  <c r="L34" i="27"/>
  <c r="I23" i="27"/>
  <c r="M24" i="27" s="1"/>
  <c r="L23" i="27"/>
  <c r="I21" i="23"/>
  <c r="L21" i="23"/>
  <c r="I18" i="23"/>
  <c r="L18" i="23"/>
  <c r="I29" i="23"/>
  <c r="L29" i="23"/>
  <c r="I39" i="23"/>
  <c r="L39" i="23"/>
  <c r="I24" i="23"/>
  <c r="L24" i="23"/>
  <c r="I49" i="27"/>
  <c r="M50" i="27" s="1"/>
  <c r="L49" i="27"/>
  <c r="I15" i="23"/>
  <c r="L15" i="23"/>
  <c r="I27" i="23"/>
  <c r="L27" i="23"/>
  <c r="I32" i="23"/>
  <c r="L32" i="23"/>
  <c r="I33" i="23"/>
  <c r="L33" i="23"/>
  <c r="I35" i="27"/>
  <c r="M36" i="27" s="1"/>
  <c r="L35" i="27"/>
  <c r="I19" i="27"/>
  <c r="M20" i="27" s="1"/>
  <c r="L19" i="27"/>
  <c r="I30" i="27"/>
  <c r="M31" i="27" s="1"/>
  <c r="L30" i="27"/>
  <c r="I17" i="23"/>
  <c r="L17" i="23"/>
  <c r="I50" i="23"/>
  <c r="L50" i="23"/>
  <c r="I35" i="23"/>
  <c r="L35" i="23"/>
  <c r="I19" i="23"/>
  <c r="L19" i="23"/>
  <c r="I37" i="23"/>
  <c r="L37" i="23"/>
  <c r="I47" i="23"/>
  <c r="L47" i="23"/>
  <c r="I38" i="27"/>
  <c r="M39" i="27" s="1"/>
  <c r="L38" i="27"/>
  <c r="I26" i="23"/>
  <c r="L26" i="23"/>
  <c r="I14" i="23"/>
  <c r="L14" i="23"/>
  <c r="I25" i="23"/>
  <c r="L25" i="23"/>
  <c r="I13" i="27"/>
  <c r="M14" i="27" s="1"/>
  <c r="L13" i="27"/>
  <c r="I48" i="27"/>
  <c r="M49" i="27" s="1"/>
  <c r="L48" i="27"/>
  <c r="I27" i="22"/>
  <c r="L27" i="22"/>
  <c r="I35" i="22"/>
  <c r="L35" i="22"/>
  <c r="I33" i="22"/>
  <c r="L33" i="22"/>
  <c r="I41" i="29"/>
  <c r="L41" i="29"/>
  <c r="I34" i="29"/>
  <c r="L34" i="29"/>
  <c r="I49" i="22"/>
  <c r="L49" i="22"/>
  <c r="I32" i="29"/>
  <c r="L32" i="29"/>
  <c r="I47" i="29"/>
  <c r="L47" i="29"/>
  <c r="I50" i="29"/>
  <c r="L50" i="29"/>
  <c r="I38" i="29"/>
  <c r="L38" i="29"/>
  <c r="I17" i="29"/>
  <c r="L17" i="29"/>
  <c r="I31" i="29"/>
  <c r="L31" i="29"/>
  <c r="I39" i="29"/>
  <c r="L39" i="29"/>
  <c r="I19" i="29"/>
  <c r="L19" i="29"/>
  <c r="I31" i="22"/>
  <c r="L31" i="22"/>
  <c r="I37" i="22"/>
  <c r="L37" i="22"/>
  <c r="I32" i="22"/>
  <c r="L32" i="22"/>
  <c r="I14" i="29"/>
  <c r="L14" i="29"/>
  <c r="I44" i="22"/>
  <c r="L44" i="22"/>
  <c r="I38" i="22"/>
  <c r="L38" i="22"/>
  <c r="I24" i="29"/>
  <c r="L24" i="29"/>
  <c r="I35" i="29"/>
  <c r="L35" i="29"/>
  <c r="I15" i="22"/>
  <c r="L15" i="22"/>
  <c r="I28" i="22"/>
  <c r="L28" i="22"/>
  <c r="I45" i="22"/>
  <c r="L45" i="22"/>
  <c r="I51" i="22"/>
  <c r="L51" i="22"/>
  <c r="I43" i="22"/>
  <c r="L43" i="22"/>
  <c r="I42" i="22"/>
  <c r="L42" i="22"/>
  <c r="I23" i="29"/>
  <c r="L23" i="29"/>
  <c r="I34" i="22"/>
  <c r="L34" i="22"/>
  <c r="I43" i="29"/>
  <c r="L43" i="29"/>
  <c r="I18" i="22"/>
  <c r="L18" i="22"/>
  <c r="I33" i="29"/>
  <c r="L33" i="29"/>
  <c r="I26" i="22"/>
  <c r="L26" i="22"/>
  <c r="I36" i="22"/>
  <c r="L36" i="22"/>
  <c r="I29" i="29"/>
  <c r="L29" i="29"/>
  <c r="I30" i="29"/>
  <c r="L30" i="29"/>
  <c r="I16" i="29"/>
  <c r="L16" i="29"/>
  <c r="I26" i="29"/>
  <c r="L26" i="29"/>
  <c r="I46" i="22"/>
  <c r="L46" i="22"/>
  <c r="I18" i="29"/>
  <c r="L18" i="29"/>
  <c r="I15" i="29"/>
  <c r="L15" i="29"/>
  <c r="I47" i="22"/>
  <c r="L47" i="22"/>
  <c r="I29" i="22"/>
  <c r="L29" i="22"/>
  <c r="I50" i="22"/>
  <c r="L50" i="22"/>
  <c r="M51" i="22" s="1"/>
  <c r="I28" i="29"/>
  <c r="L28" i="29"/>
  <c r="I41" i="22"/>
  <c r="L41" i="22"/>
  <c r="I45" i="29"/>
  <c r="L45" i="29"/>
  <c r="I21" i="22"/>
  <c r="L21" i="22"/>
  <c r="I22" i="22"/>
  <c r="L22" i="22"/>
  <c r="I13" i="22"/>
  <c r="L13" i="22"/>
  <c r="M13" i="22" s="1"/>
  <c r="I14" i="22"/>
  <c r="L14" i="22"/>
  <c r="I24" i="22"/>
  <c r="L24" i="22"/>
  <c r="I20" i="29"/>
  <c r="L20" i="29"/>
  <c r="I19" i="22"/>
  <c r="L19" i="22"/>
  <c r="I42" i="29"/>
  <c r="L42" i="29"/>
  <c r="I13" i="29"/>
  <c r="L13" i="29"/>
  <c r="I39" i="22"/>
  <c r="L39" i="22"/>
  <c r="I25" i="22"/>
  <c r="L25" i="22"/>
  <c r="I51" i="29"/>
  <c r="L51" i="29"/>
  <c r="I16" i="22"/>
  <c r="L16" i="22"/>
  <c r="I49" i="29"/>
  <c r="L49" i="29"/>
  <c r="I27" i="29"/>
  <c r="L27" i="29"/>
  <c r="I20" i="22"/>
  <c r="L20" i="22"/>
  <c r="I48" i="22"/>
  <c r="L48" i="22"/>
  <c r="M49" i="22" s="1"/>
  <c r="I37" i="29"/>
  <c r="L37" i="29"/>
  <c r="I40" i="22"/>
  <c r="L40" i="22"/>
  <c r="M41" i="22" s="1"/>
  <c r="I21" i="29"/>
  <c r="L21" i="29"/>
  <c r="I46" i="29"/>
  <c r="L46" i="29"/>
  <c r="I30" i="22"/>
  <c r="L30" i="22"/>
  <c r="I22" i="29"/>
  <c r="L22" i="29"/>
  <c r="I17" i="22"/>
  <c r="L17" i="22"/>
  <c r="I25" i="29"/>
  <c r="L25" i="29"/>
  <c r="I23" i="22"/>
  <c r="L23" i="22"/>
  <c r="R15" i="9"/>
  <c r="L5" i="9"/>
  <c r="S4" i="9" s="1"/>
  <c r="P4" i="9"/>
  <c r="H5" i="8"/>
  <c r="C2" i="22" s="1"/>
  <c r="H5" i="9"/>
  <c r="C2" i="23" s="1"/>
  <c r="K15" i="9" l="1"/>
  <c r="O15" i="9"/>
  <c r="M51" i="23"/>
  <c r="M49" i="23"/>
  <c r="M33" i="23"/>
  <c r="Q4" i="9"/>
  <c r="C6" i="27" s="1"/>
  <c r="C2" i="27"/>
  <c r="M16" i="23"/>
  <c r="M32" i="23"/>
  <c r="M35" i="23"/>
  <c r="M17" i="23"/>
  <c r="M43" i="23"/>
  <c r="M15" i="23"/>
  <c r="M38" i="23"/>
  <c r="M36" i="23"/>
  <c r="M18" i="23"/>
  <c r="M22" i="23"/>
  <c r="M29" i="23"/>
  <c r="M45" i="23"/>
  <c r="M41" i="23"/>
  <c r="J49" i="23"/>
  <c r="M46" i="23"/>
  <c r="M21" i="23"/>
  <c r="M34" i="23"/>
  <c r="M28" i="23"/>
  <c r="J30" i="23"/>
  <c r="M50" i="23"/>
  <c r="M23" i="23"/>
  <c r="M39" i="23"/>
  <c r="M14" i="23"/>
  <c r="M13" i="23"/>
  <c r="S12" i="23"/>
  <c r="S28" i="23"/>
  <c r="S38" i="23"/>
  <c r="S41" i="23"/>
  <c r="S44" i="23"/>
  <c r="S31" i="23"/>
  <c r="S43" i="23"/>
  <c r="S17" i="23"/>
  <c r="S39" i="23"/>
  <c r="S20" i="23"/>
  <c r="S46" i="23"/>
  <c r="S49" i="23"/>
  <c r="S36" i="23"/>
  <c r="S25" i="23"/>
  <c r="S24" i="23"/>
  <c r="S18" i="23"/>
  <c r="S35" i="23"/>
  <c r="S42" i="23"/>
  <c r="S47" i="23"/>
  <c r="S21" i="23"/>
  <c r="S22" i="23"/>
  <c r="S50" i="23"/>
  <c r="S34" i="23"/>
  <c r="S37" i="23"/>
  <c r="S40" i="23"/>
  <c r="S27" i="23"/>
  <c r="S29" i="23"/>
  <c r="S13" i="23"/>
  <c r="S26" i="23"/>
  <c r="S19" i="23"/>
  <c r="S14" i="23"/>
  <c r="S33" i="23"/>
  <c r="S23" i="23"/>
  <c r="S30" i="23"/>
  <c r="S15" i="23"/>
  <c r="S16" i="23"/>
  <c r="S45" i="23"/>
  <c r="S48" i="23"/>
  <c r="S51" i="23"/>
  <c r="S32" i="23"/>
  <c r="J50" i="23"/>
  <c r="J45" i="23"/>
  <c r="J14" i="23"/>
  <c r="J38" i="23"/>
  <c r="J35" i="23"/>
  <c r="J31" i="23"/>
  <c r="J18" i="23"/>
  <c r="J20" i="23"/>
  <c r="J36" i="23"/>
  <c r="J15" i="23"/>
  <c r="J37" i="23"/>
  <c r="J39" i="23"/>
  <c r="J42" i="23"/>
  <c r="J21" i="23"/>
  <c r="J41" i="23"/>
  <c r="J29" i="23"/>
  <c r="J34" i="23"/>
  <c r="J47" i="23"/>
  <c r="J23" i="23"/>
  <c r="J44" i="23"/>
  <c r="J40" i="23"/>
  <c r="J13" i="23"/>
  <c r="J48" i="23"/>
  <c r="J16" i="23"/>
  <c r="J17" i="23"/>
  <c r="J22" i="23"/>
  <c r="J43" i="23"/>
  <c r="J28" i="23"/>
  <c r="J19" i="23"/>
  <c r="J27" i="23"/>
  <c r="J46" i="23"/>
  <c r="J24" i="23"/>
  <c r="J32" i="23"/>
  <c r="J25" i="23"/>
  <c r="J26" i="23"/>
  <c r="J51" i="23"/>
  <c r="N51" i="23" s="1"/>
  <c r="R51" i="23" s="1"/>
  <c r="M25" i="23"/>
  <c r="M44" i="23"/>
  <c r="J33" i="23"/>
  <c r="N33" i="23" s="1"/>
  <c r="R33" i="23" s="1"/>
  <c r="M30" i="23"/>
  <c r="M47" i="23"/>
  <c r="M24" i="23"/>
  <c r="M26" i="23"/>
  <c r="M27" i="23"/>
  <c r="M48" i="23"/>
  <c r="M20" i="23"/>
  <c r="M40" i="23"/>
  <c r="M19" i="23"/>
  <c r="M42" i="23"/>
  <c r="M37" i="23"/>
  <c r="M31" i="23"/>
  <c r="N31" i="23" s="1"/>
  <c r="R31" i="23" s="1"/>
  <c r="T31" i="23" s="1"/>
  <c r="U31" i="23" s="1"/>
  <c r="V31" i="23" s="1"/>
  <c r="M20" i="22"/>
  <c r="M22" i="22"/>
  <c r="M50" i="22"/>
  <c r="M37" i="22"/>
  <c r="M44" i="22"/>
  <c r="M46" i="22"/>
  <c r="M16" i="22"/>
  <c r="M26" i="22"/>
  <c r="M25" i="22"/>
  <c r="M39" i="22"/>
  <c r="M36" i="22"/>
  <c r="M24" i="22"/>
  <c r="M31" i="22"/>
  <c r="M21" i="22"/>
  <c r="M40" i="22"/>
  <c r="M15" i="22"/>
  <c r="M23" i="22"/>
  <c r="M30" i="22"/>
  <c r="M47" i="22"/>
  <c r="M45" i="22"/>
  <c r="M33" i="22"/>
  <c r="M32" i="22"/>
  <c r="M34" i="22"/>
  <c r="M28" i="22"/>
  <c r="M17" i="22"/>
  <c r="M14" i="22"/>
  <c r="M42" i="22"/>
  <c r="M48" i="22"/>
  <c r="M38" i="22"/>
  <c r="M18" i="22"/>
  <c r="M16" i="29"/>
  <c r="M32" i="29"/>
  <c r="M48" i="29"/>
  <c r="M25" i="29"/>
  <c r="M41" i="29"/>
  <c r="M14" i="29"/>
  <c r="M30" i="29"/>
  <c r="M46" i="29"/>
  <c r="M23" i="29"/>
  <c r="M19" i="29"/>
  <c r="M40" i="29"/>
  <c r="M49" i="29"/>
  <c r="M38" i="29"/>
  <c r="M31" i="29"/>
  <c r="M44" i="29"/>
  <c r="M37" i="29"/>
  <c r="M26" i="29"/>
  <c r="M43" i="29"/>
  <c r="M39" i="29"/>
  <c r="M20" i="29"/>
  <c r="M36" i="29"/>
  <c r="M52" i="29"/>
  <c r="N52" i="29" s="1"/>
  <c r="M29" i="29"/>
  <c r="M45" i="29"/>
  <c r="M18" i="29"/>
  <c r="M34" i="29"/>
  <c r="M50" i="29"/>
  <c r="M15" i="29"/>
  <c r="M35" i="29"/>
  <c r="M24" i="29"/>
  <c r="M17" i="29"/>
  <c r="M33" i="29"/>
  <c r="M22" i="29"/>
  <c r="M27" i="29"/>
  <c r="M51" i="29"/>
  <c r="M28" i="29"/>
  <c r="M21" i="29"/>
  <c r="M13" i="29"/>
  <c r="M42" i="29"/>
  <c r="M47" i="29"/>
  <c r="M27" i="22"/>
  <c r="M19" i="22"/>
  <c r="M35" i="22"/>
  <c r="M43" i="22"/>
  <c r="M29" i="22"/>
  <c r="R4" i="9"/>
  <c r="O4" i="9"/>
  <c r="L18" i="9"/>
  <c r="M5" i="9"/>
  <c r="L15" i="9"/>
  <c r="C43" i="7"/>
  <c r="D43" i="7" s="1"/>
  <c r="E42" i="7"/>
  <c r="D42" i="7"/>
  <c r="E41" i="7"/>
  <c r="C41" i="7"/>
  <c r="D41" i="7" s="1"/>
  <c r="E39" i="7"/>
  <c r="C39" i="7"/>
  <c r="D39" i="7" s="1"/>
  <c r="E38" i="7"/>
  <c r="C38" i="7"/>
  <c r="D38" i="7" s="1"/>
  <c r="E37" i="7"/>
  <c r="C37" i="7"/>
  <c r="D37" i="7" s="1"/>
  <c r="E36" i="7"/>
  <c r="C36" i="7"/>
  <c r="D36" i="7" s="1"/>
  <c r="E35" i="7"/>
  <c r="C35" i="7"/>
  <c r="D35" i="7" s="1"/>
  <c r="E34" i="7"/>
  <c r="C34" i="7"/>
  <c r="D34" i="7" s="1"/>
  <c r="E33" i="7"/>
  <c r="C33" i="7"/>
  <c r="D33" i="7" s="1"/>
  <c r="E32" i="7"/>
  <c r="C32" i="7"/>
  <c r="D32" i="7" s="1"/>
  <c r="E31" i="7"/>
  <c r="C31" i="7"/>
  <c r="D31" i="7" s="1"/>
  <c r="E30" i="7"/>
  <c r="C30" i="7"/>
  <c r="D30" i="7" s="1"/>
  <c r="E29" i="7"/>
  <c r="C29" i="7"/>
  <c r="D29" i="7" s="1"/>
  <c r="E28" i="7"/>
  <c r="C28" i="7"/>
  <c r="D28" i="7" s="1"/>
  <c r="E27" i="7"/>
  <c r="C27" i="7"/>
  <c r="D27" i="7" s="1"/>
  <c r="E26" i="7"/>
  <c r="C26" i="7"/>
  <c r="D26" i="7" s="1"/>
  <c r="E25" i="7"/>
  <c r="D25" i="7"/>
  <c r="E24" i="7"/>
  <c r="C24" i="7"/>
  <c r="D24" i="7" s="1"/>
  <c r="E23" i="7"/>
  <c r="C23" i="7"/>
  <c r="D23" i="7" s="1"/>
  <c r="E22" i="7"/>
  <c r="C22" i="7"/>
  <c r="D22" i="7" s="1"/>
  <c r="E21" i="7"/>
  <c r="C21" i="7"/>
  <c r="D21" i="7" s="1"/>
  <c r="E20" i="7"/>
  <c r="C20" i="7"/>
  <c r="D20" i="7" s="1"/>
  <c r="E19" i="7"/>
  <c r="C19" i="7"/>
  <c r="D19" i="7" s="1"/>
  <c r="E18" i="7"/>
  <c r="C18" i="7"/>
  <c r="D18" i="7" s="1"/>
  <c r="E17" i="7"/>
  <c r="C17" i="7"/>
  <c r="D17" i="7" s="1"/>
  <c r="E16" i="7"/>
  <c r="C16" i="7"/>
  <c r="D16" i="7" s="1"/>
  <c r="E15" i="7"/>
  <c r="D15" i="7"/>
  <c r="E14" i="7"/>
  <c r="C14" i="7"/>
  <c r="D14" i="7" s="1"/>
  <c r="E13" i="7"/>
  <c r="C13" i="7"/>
  <c r="D13" i="7" s="1"/>
  <c r="E12" i="7"/>
  <c r="C12" i="7"/>
  <c r="D12" i="7" s="1"/>
  <c r="E11" i="7"/>
  <c r="C11" i="7"/>
  <c r="D11" i="7" s="1"/>
  <c r="E10" i="7"/>
  <c r="C10" i="7"/>
  <c r="D10" i="7" s="1"/>
  <c r="E9" i="7"/>
  <c r="C8" i="7"/>
  <c r="D8" i="7" s="1"/>
  <c r="E7" i="7"/>
  <c r="D7" i="7"/>
  <c r="D5" i="7"/>
  <c r="F5" i="7" s="1"/>
  <c r="C4" i="7"/>
  <c r="N49" i="23" l="1"/>
  <c r="R49" i="23" s="1"/>
  <c r="N19" i="23"/>
  <c r="N27" i="23"/>
  <c r="R27" i="23" s="1"/>
  <c r="T27" i="23" s="1"/>
  <c r="U27" i="23" s="1"/>
  <c r="V27" i="23" s="1"/>
  <c r="X27" i="23" s="1"/>
  <c r="N30" i="23"/>
  <c r="R30" i="23" s="1"/>
  <c r="T30" i="23" s="1"/>
  <c r="U30" i="23" s="1"/>
  <c r="V30" i="23" s="1"/>
  <c r="X30" i="23" s="1"/>
  <c r="T51" i="23"/>
  <c r="U51" i="23" s="1"/>
  <c r="V51" i="23" s="1"/>
  <c r="N13" i="23"/>
  <c r="R13" i="23" s="1"/>
  <c r="N21" i="23"/>
  <c r="R21" i="23" s="1"/>
  <c r="T13" i="23"/>
  <c r="U13" i="23" s="1"/>
  <c r="V13" i="23" s="1"/>
  <c r="X13" i="23" s="1"/>
  <c r="T33" i="23"/>
  <c r="U33" i="23" s="1"/>
  <c r="V33" i="23" s="1"/>
  <c r="N29" i="23"/>
  <c r="R29" i="23" s="1"/>
  <c r="T29" i="23" s="1"/>
  <c r="U29" i="23" s="1"/>
  <c r="V29" i="23" s="1"/>
  <c r="X29" i="23" s="1"/>
  <c r="N37" i="23"/>
  <c r="R37" i="23" s="1"/>
  <c r="T37" i="23" s="1"/>
  <c r="U37" i="23" s="1"/>
  <c r="V37" i="23" s="1"/>
  <c r="X37" i="23" s="1"/>
  <c r="N20" i="23"/>
  <c r="R20" i="23" s="1"/>
  <c r="T20" i="23" s="1"/>
  <c r="U20" i="23" s="1"/>
  <c r="V20" i="23" s="1"/>
  <c r="X20" i="23" s="1"/>
  <c r="N24" i="23"/>
  <c r="R24" i="23" s="1"/>
  <c r="T24" i="23" s="1"/>
  <c r="U24" i="23" s="1"/>
  <c r="V24" i="23" s="1"/>
  <c r="N44" i="23"/>
  <c r="R44" i="23" s="1"/>
  <c r="N28" i="23"/>
  <c r="R28" i="23" s="1"/>
  <c r="T28" i="23" s="1"/>
  <c r="U28" i="23" s="1"/>
  <c r="V28" i="23" s="1"/>
  <c r="W28" i="23" s="1"/>
  <c r="T49" i="23"/>
  <c r="U49" i="23" s="1"/>
  <c r="V49" i="23" s="1"/>
  <c r="X49" i="23" s="1"/>
  <c r="N22" i="23"/>
  <c r="R22" i="23" s="1"/>
  <c r="N15" i="23"/>
  <c r="R15" i="23" s="1"/>
  <c r="N48" i="23"/>
  <c r="R48" i="23" s="1"/>
  <c r="T48" i="23" s="1"/>
  <c r="U48" i="23" s="1"/>
  <c r="V48" i="23" s="1"/>
  <c r="X48" i="23" s="1"/>
  <c r="N47" i="23"/>
  <c r="R47" i="23" s="1"/>
  <c r="T47" i="23" s="1"/>
  <c r="U47" i="23" s="1"/>
  <c r="V47" i="23" s="1"/>
  <c r="X47" i="23" s="1"/>
  <c r="N25" i="23"/>
  <c r="N23" i="23"/>
  <c r="R23" i="23" s="1"/>
  <c r="W49" i="23"/>
  <c r="X51" i="23"/>
  <c r="W51" i="23"/>
  <c r="X33" i="23"/>
  <c r="W33" i="23"/>
  <c r="X24" i="23"/>
  <c r="W24" i="23"/>
  <c r="T12" i="23"/>
  <c r="U12" i="23" s="1"/>
  <c r="V12" i="23" s="1"/>
  <c r="N40" i="23"/>
  <c r="R40" i="23" s="1"/>
  <c r="T40" i="23" s="1"/>
  <c r="U40" i="23" s="1"/>
  <c r="V40" i="23" s="1"/>
  <c r="N34" i="23"/>
  <c r="R34" i="23" s="1"/>
  <c r="T34" i="23" s="1"/>
  <c r="U34" i="23" s="1"/>
  <c r="V34" i="23" s="1"/>
  <c r="N38" i="23"/>
  <c r="R38" i="23" s="1"/>
  <c r="T38" i="23" s="1"/>
  <c r="U38" i="23" s="1"/>
  <c r="V38" i="23" s="1"/>
  <c r="W27" i="23"/>
  <c r="N41" i="23"/>
  <c r="R41" i="23" s="1"/>
  <c r="T41" i="23" s="1"/>
  <c r="U41" i="23" s="1"/>
  <c r="V41" i="23" s="1"/>
  <c r="N32" i="23"/>
  <c r="R19" i="23"/>
  <c r="T19" i="23" s="1"/>
  <c r="U19" i="23" s="1"/>
  <c r="V19" i="23" s="1"/>
  <c r="R25" i="23"/>
  <c r="T25" i="23" s="1"/>
  <c r="U25" i="23" s="1"/>
  <c r="V25" i="23" s="1"/>
  <c r="T23" i="23"/>
  <c r="U23" i="23" s="1"/>
  <c r="V23" i="23" s="1"/>
  <c r="N36" i="23"/>
  <c r="R36" i="23" s="1"/>
  <c r="T36" i="23" s="1"/>
  <c r="U36" i="23" s="1"/>
  <c r="V36" i="23" s="1"/>
  <c r="N17" i="23"/>
  <c r="R17" i="23" s="1"/>
  <c r="T17" i="23" s="1"/>
  <c r="U17" i="23" s="1"/>
  <c r="V17" i="23" s="1"/>
  <c r="N50" i="23"/>
  <c r="R50" i="23" s="1"/>
  <c r="T50" i="23" s="1"/>
  <c r="U50" i="23" s="1"/>
  <c r="V50" i="23" s="1"/>
  <c r="T22" i="23"/>
  <c r="U22" i="23" s="1"/>
  <c r="V22" i="23" s="1"/>
  <c r="N35" i="23"/>
  <c r="R35" i="23" s="1"/>
  <c r="T35" i="23" s="1"/>
  <c r="U35" i="23" s="1"/>
  <c r="V35" i="23" s="1"/>
  <c r="S23" i="27"/>
  <c r="S21" i="27"/>
  <c r="S19" i="27"/>
  <c r="S31" i="27"/>
  <c r="S29" i="27"/>
  <c r="S15" i="27"/>
  <c r="S13" i="27"/>
  <c r="S12" i="27"/>
  <c r="T12" i="27" s="1"/>
  <c r="U12" i="27" s="1"/>
  <c r="V12" i="27" s="1"/>
  <c r="S38" i="27"/>
  <c r="S40" i="27"/>
  <c r="S39" i="27"/>
  <c r="S36" i="27"/>
  <c r="S28" i="27"/>
  <c r="S33" i="27"/>
  <c r="S45" i="27"/>
  <c r="S16" i="27"/>
  <c r="S50" i="27"/>
  <c r="S34" i="27"/>
  <c r="S51" i="27"/>
  <c r="S35" i="27"/>
  <c r="S30" i="27"/>
  <c r="S20" i="27"/>
  <c r="S27" i="27"/>
  <c r="S37" i="27"/>
  <c r="S46" i="27"/>
  <c r="S48" i="27"/>
  <c r="S47" i="27"/>
  <c r="S49" i="27"/>
  <c r="S26" i="27"/>
  <c r="S18" i="27"/>
  <c r="S25" i="27"/>
  <c r="S32" i="27"/>
  <c r="S42" i="27"/>
  <c r="S44" i="27"/>
  <c r="S43" i="27"/>
  <c r="S41" i="27"/>
  <c r="S22" i="27"/>
  <c r="S14" i="27"/>
  <c r="S17" i="27"/>
  <c r="S24" i="27"/>
  <c r="J51" i="27"/>
  <c r="N51" i="27" s="1"/>
  <c r="R51" i="27" s="1"/>
  <c r="J15" i="27"/>
  <c r="N15" i="27" s="1"/>
  <c r="R15" i="27" s="1"/>
  <c r="T15" i="27" s="1"/>
  <c r="U15" i="27" s="1"/>
  <c r="V15" i="27" s="1"/>
  <c r="J39" i="27"/>
  <c r="N39" i="27" s="1"/>
  <c r="R39" i="27" s="1"/>
  <c r="T39" i="27" s="1"/>
  <c r="U39" i="27" s="1"/>
  <c r="V39" i="27" s="1"/>
  <c r="J44" i="27"/>
  <c r="N44" i="27" s="1"/>
  <c r="R44" i="27" s="1"/>
  <c r="J23" i="27"/>
  <c r="N23" i="27" s="1"/>
  <c r="R23" i="27" s="1"/>
  <c r="T23" i="27" s="1"/>
  <c r="U23" i="27" s="1"/>
  <c r="V23" i="27" s="1"/>
  <c r="J21" i="27"/>
  <c r="N21" i="27" s="1"/>
  <c r="R21" i="27" s="1"/>
  <c r="T21" i="27" s="1"/>
  <c r="U21" i="27" s="1"/>
  <c r="V21" i="27" s="1"/>
  <c r="J47" i="27"/>
  <c r="N47" i="27" s="1"/>
  <c r="R47" i="27" s="1"/>
  <c r="T47" i="27" s="1"/>
  <c r="U47" i="27" s="1"/>
  <c r="V47" i="27" s="1"/>
  <c r="J36" i="27"/>
  <c r="N36" i="27" s="1"/>
  <c r="R36" i="27" s="1"/>
  <c r="T36" i="27" s="1"/>
  <c r="U36" i="27" s="1"/>
  <c r="V36" i="27" s="1"/>
  <c r="J43" i="27"/>
  <c r="N43" i="27" s="1"/>
  <c r="R43" i="27" s="1"/>
  <c r="J40" i="27"/>
  <c r="N40" i="27" s="1"/>
  <c r="R40" i="27" s="1"/>
  <c r="T40" i="27" s="1"/>
  <c r="U40" i="27" s="1"/>
  <c r="V40" i="27" s="1"/>
  <c r="J22" i="27"/>
  <c r="N22" i="27" s="1"/>
  <c r="R22" i="27" s="1"/>
  <c r="J46" i="27"/>
  <c r="N46" i="27" s="1"/>
  <c r="R46" i="27" s="1"/>
  <c r="J45" i="27"/>
  <c r="N45" i="27" s="1"/>
  <c r="R45" i="27" s="1"/>
  <c r="J14" i="27"/>
  <c r="N14" i="27" s="1"/>
  <c r="R14" i="27" s="1"/>
  <c r="T14" i="27" s="1"/>
  <c r="U14" i="27" s="1"/>
  <c r="V14" i="27" s="1"/>
  <c r="J27" i="27"/>
  <c r="N27" i="27" s="1"/>
  <c r="R27" i="27" s="1"/>
  <c r="T27" i="27" s="1"/>
  <c r="U27" i="27" s="1"/>
  <c r="V27" i="27" s="1"/>
  <c r="J32" i="27"/>
  <c r="N32" i="27" s="1"/>
  <c r="R32" i="27" s="1"/>
  <c r="T32" i="27" s="1"/>
  <c r="U32" i="27" s="1"/>
  <c r="V32" i="27" s="1"/>
  <c r="J38" i="27"/>
  <c r="N38" i="27" s="1"/>
  <c r="R38" i="27" s="1"/>
  <c r="T38" i="27" s="1"/>
  <c r="U38" i="27" s="1"/>
  <c r="V38" i="27" s="1"/>
  <c r="J13" i="27"/>
  <c r="N13" i="27" s="1"/>
  <c r="R13" i="27" s="1"/>
  <c r="J18" i="27"/>
  <c r="N18" i="27" s="1"/>
  <c r="R18" i="27" s="1"/>
  <c r="J30" i="27"/>
  <c r="N30" i="27" s="1"/>
  <c r="R30" i="27" s="1"/>
  <c r="J24" i="27"/>
  <c r="N24" i="27" s="1"/>
  <c r="R24" i="27" s="1"/>
  <c r="J42" i="27"/>
  <c r="N42" i="27" s="1"/>
  <c r="R42" i="27" s="1"/>
  <c r="J34" i="27"/>
  <c r="N34" i="27" s="1"/>
  <c r="R34" i="27" s="1"/>
  <c r="J16" i="27"/>
  <c r="N16" i="27" s="1"/>
  <c r="R16" i="27" s="1"/>
  <c r="T16" i="27" s="1"/>
  <c r="U16" i="27" s="1"/>
  <c r="V16" i="27" s="1"/>
  <c r="J33" i="27"/>
  <c r="N33" i="27" s="1"/>
  <c r="R33" i="27" s="1"/>
  <c r="J17" i="27"/>
  <c r="N17" i="27" s="1"/>
  <c r="R17" i="27" s="1"/>
  <c r="J20" i="27"/>
  <c r="N20" i="27" s="1"/>
  <c r="R20" i="27" s="1"/>
  <c r="J28" i="27"/>
  <c r="N28" i="27" s="1"/>
  <c r="R28" i="27" s="1"/>
  <c r="J48" i="27"/>
  <c r="N48" i="27" s="1"/>
  <c r="R48" i="27" s="1"/>
  <c r="J19" i="27"/>
  <c r="N19" i="27" s="1"/>
  <c r="R19" i="27" s="1"/>
  <c r="J26" i="27"/>
  <c r="N26" i="27" s="1"/>
  <c r="R26" i="27" s="1"/>
  <c r="J49" i="27"/>
  <c r="N49" i="27" s="1"/>
  <c r="R49" i="27" s="1"/>
  <c r="T49" i="27" s="1"/>
  <c r="U49" i="27" s="1"/>
  <c r="V49" i="27" s="1"/>
  <c r="J31" i="27"/>
  <c r="N31" i="27" s="1"/>
  <c r="R31" i="27" s="1"/>
  <c r="J37" i="27"/>
  <c r="N37" i="27" s="1"/>
  <c r="R37" i="27" s="1"/>
  <c r="J50" i="27"/>
  <c r="N50" i="27" s="1"/>
  <c r="R50" i="27" s="1"/>
  <c r="J25" i="27"/>
  <c r="N25" i="27" s="1"/>
  <c r="R25" i="27" s="1"/>
  <c r="J29" i="27"/>
  <c r="N29" i="27" s="1"/>
  <c r="R29" i="27" s="1"/>
  <c r="T29" i="27" s="1"/>
  <c r="U29" i="27" s="1"/>
  <c r="V29" i="27" s="1"/>
  <c r="J41" i="27"/>
  <c r="N41" i="27" s="1"/>
  <c r="R41" i="27" s="1"/>
  <c r="J35" i="27"/>
  <c r="N35" i="27" s="1"/>
  <c r="R35" i="27" s="1"/>
  <c r="W30" i="23"/>
  <c r="N14" i="23"/>
  <c r="R14" i="23" s="1"/>
  <c r="T14" i="23" s="1"/>
  <c r="U14" i="23" s="1"/>
  <c r="V14" i="23" s="1"/>
  <c r="N16" i="23"/>
  <c r="X31" i="23"/>
  <c r="W31" i="23"/>
  <c r="N42" i="23"/>
  <c r="R42" i="23" s="1"/>
  <c r="T42" i="23" s="1"/>
  <c r="U42" i="23" s="1"/>
  <c r="V42" i="23" s="1"/>
  <c r="N26" i="23"/>
  <c r="R26" i="23" s="1"/>
  <c r="T26" i="23" s="1"/>
  <c r="U26" i="23" s="1"/>
  <c r="V26" i="23" s="1"/>
  <c r="N39" i="23"/>
  <c r="R39" i="23" s="1"/>
  <c r="T39" i="23" s="1"/>
  <c r="U39" i="23" s="1"/>
  <c r="V39" i="23" s="1"/>
  <c r="N46" i="23"/>
  <c r="R46" i="23" s="1"/>
  <c r="T46" i="23" s="1"/>
  <c r="U46" i="23" s="1"/>
  <c r="V46" i="23" s="1"/>
  <c r="N45" i="23"/>
  <c r="R45" i="23" s="1"/>
  <c r="T45" i="23" s="1"/>
  <c r="U45" i="23" s="1"/>
  <c r="V45" i="23" s="1"/>
  <c r="N18" i="23"/>
  <c r="R18" i="23" s="1"/>
  <c r="T18" i="23" s="1"/>
  <c r="U18" i="23" s="1"/>
  <c r="V18" i="23" s="1"/>
  <c r="N43" i="23"/>
  <c r="R43" i="23" s="1"/>
  <c r="T43" i="23" s="1"/>
  <c r="U43" i="23" s="1"/>
  <c r="V43" i="23" s="1"/>
  <c r="G4" i="7"/>
  <c r="F4" i="7"/>
  <c r="D6" i="7"/>
  <c r="G26" i="7" s="1"/>
  <c r="G6" i="7"/>
  <c r="G13" i="7"/>
  <c r="G29" i="7"/>
  <c r="G22" i="7"/>
  <c r="G34" i="7"/>
  <c r="G23" i="7"/>
  <c r="G35" i="7"/>
  <c r="D4" i="7"/>
  <c r="W20" i="23" l="1"/>
  <c r="W13" i="23"/>
  <c r="T21" i="23"/>
  <c r="U21" i="23" s="1"/>
  <c r="V21" i="23" s="1"/>
  <c r="X21" i="23" s="1"/>
  <c r="T42" i="27"/>
  <c r="U42" i="27" s="1"/>
  <c r="V42" i="27" s="1"/>
  <c r="W42" i="27" s="1"/>
  <c r="W47" i="23"/>
  <c r="T45" i="27"/>
  <c r="U45" i="27" s="1"/>
  <c r="V45" i="27" s="1"/>
  <c r="W45" i="27" s="1"/>
  <c r="T43" i="27"/>
  <c r="U43" i="27" s="1"/>
  <c r="V43" i="27" s="1"/>
  <c r="X43" i="27" s="1"/>
  <c r="T44" i="23"/>
  <c r="U44" i="23" s="1"/>
  <c r="V44" i="23" s="1"/>
  <c r="W44" i="23" s="1"/>
  <c r="W29" i="23"/>
  <c r="T19" i="27"/>
  <c r="U19" i="27" s="1"/>
  <c r="V19" i="27" s="1"/>
  <c r="T17" i="27"/>
  <c r="U17" i="27" s="1"/>
  <c r="V17" i="27" s="1"/>
  <c r="W17" i="27" s="1"/>
  <c r="T13" i="27"/>
  <c r="U13" i="27" s="1"/>
  <c r="V13" i="27" s="1"/>
  <c r="W13" i="27" s="1"/>
  <c r="T15" i="23"/>
  <c r="U15" i="23" s="1"/>
  <c r="V15" i="23" s="1"/>
  <c r="W15" i="23" s="1"/>
  <c r="T25" i="27"/>
  <c r="U25" i="27" s="1"/>
  <c r="V25" i="27" s="1"/>
  <c r="W25" i="27" s="1"/>
  <c r="W48" i="23"/>
  <c r="T35" i="27"/>
  <c r="U35" i="27" s="1"/>
  <c r="V35" i="27" s="1"/>
  <c r="W35" i="27" s="1"/>
  <c r="X28" i="23"/>
  <c r="W37" i="23"/>
  <c r="T37" i="27"/>
  <c r="U37" i="27" s="1"/>
  <c r="V37" i="27" s="1"/>
  <c r="W37" i="27" s="1"/>
  <c r="T41" i="27"/>
  <c r="U41" i="27" s="1"/>
  <c r="V41" i="27" s="1"/>
  <c r="W41" i="27" s="1"/>
  <c r="T31" i="27"/>
  <c r="U31" i="27" s="1"/>
  <c r="V31" i="27" s="1"/>
  <c r="W31" i="27" s="1"/>
  <c r="T24" i="27"/>
  <c r="U24" i="27" s="1"/>
  <c r="V24" i="27" s="1"/>
  <c r="T51" i="27"/>
  <c r="U51" i="27" s="1"/>
  <c r="V51" i="27" s="1"/>
  <c r="X51" i="27" s="1"/>
  <c r="X12" i="23"/>
  <c r="W12" i="23"/>
  <c r="X39" i="23"/>
  <c r="W39" i="23"/>
  <c r="X40" i="27"/>
  <c r="W40" i="27"/>
  <c r="W15" i="27"/>
  <c r="X15" i="27"/>
  <c r="X17" i="23"/>
  <c r="W17" i="23"/>
  <c r="X23" i="23"/>
  <c r="W23" i="23"/>
  <c r="X34" i="23"/>
  <c r="W34" i="23"/>
  <c r="X26" i="23"/>
  <c r="W26" i="23"/>
  <c r="R16" i="23"/>
  <c r="T16" i="23" s="1"/>
  <c r="U16" i="23" s="1"/>
  <c r="V16" i="23" s="1"/>
  <c r="X31" i="27"/>
  <c r="W24" i="27"/>
  <c r="X24" i="27"/>
  <c r="X38" i="27"/>
  <c r="W38" i="27"/>
  <c r="W43" i="27"/>
  <c r="W51" i="27"/>
  <c r="X25" i="23"/>
  <c r="W25" i="23"/>
  <c r="X19" i="23"/>
  <c r="W19" i="23"/>
  <c r="X40" i="23"/>
  <c r="W40" i="23"/>
  <c r="X45" i="23"/>
  <c r="W45" i="23"/>
  <c r="X42" i="23"/>
  <c r="W42" i="23"/>
  <c r="X15" i="23"/>
  <c r="X25" i="27"/>
  <c r="W49" i="27"/>
  <c r="X49" i="27"/>
  <c r="T28" i="27"/>
  <c r="U28" i="27" s="1"/>
  <c r="V28" i="27" s="1"/>
  <c r="W16" i="27"/>
  <c r="X16" i="27"/>
  <c r="T30" i="27"/>
  <c r="U30" i="27" s="1"/>
  <c r="V30" i="27" s="1"/>
  <c r="W32" i="27"/>
  <c r="X32" i="27"/>
  <c r="T46" i="27"/>
  <c r="U46" i="27" s="1"/>
  <c r="V46" i="27" s="1"/>
  <c r="W36" i="27"/>
  <c r="X36" i="27"/>
  <c r="T44" i="27"/>
  <c r="U44" i="27" s="1"/>
  <c r="V44" i="27" s="1"/>
  <c r="X12" i="27"/>
  <c r="W12" i="27"/>
  <c r="X35" i="23"/>
  <c r="W35" i="23"/>
  <c r="X43" i="23"/>
  <c r="W43" i="23"/>
  <c r="X14" i="23"/>
  <c r="W14" i="23"/>
  <c r="W19" i="27"/>
  <c r="X19" i="27"/>
  <c r="X14" i="27"/>
  <c r="W14" i="27"/>
  <c r="W21" i="27"/>
  <c r="X21" i="27"/>
  <c r="X50" i="23"/>
  <c r="W50" i="23"/>
  <c r="X41" i="23"/>
  <c r="W41" i="23"/>
  <c r="X18" i="23"/>
  <c r="W18" i="23"/>
  <c r="W29" i="27"/>
  <c r="X29" i="27"/>
  <c r="T48" i="27"/>
  <c r="U48" i="27" s="1"/>
  <c r="V48" i="27" s="1"/>
  <c r="T33" i="27"/>
  <c r="U33" i="27" s="1"/>
  <c r="V33" i="27" s="1"/>
  <c r="X45" i="27"/>
  <c r="X23" i="27"/>
  <c r="W23" i="27"/>
  <c r="X36" i="23"/>
  <c r="W36" i="23"/>
  <c r="X46" i="23"/>
  <c r="W46" i="23"/>
  <c r="T50" i="27"/>
  <c r="U50" i="27" s="1"/>
  <c r="V50" i="27" s="1"/>
  <c r="T26" i="27"/>
  <c r="U26" i="27" s="1"/>
  <c r="V26" i="27" s="1"/>
  <c r="T20" i="27"/>
  <c r="U20" i="27" s="1"/>
  <c r="V20" i="27" s="1"/>
  <c r="T34" i="27"/>
  <c r="U34" i="27" s="1"/>
  <c r="V34" i="27" s="1"/>
  <c r="T18" i="27"/>
  <c r="U18" i="27" s="1"/>
  <c r="V18" i="27" s="1"/>
  <c r="W27" i="27"/>
  <c r="X27" i="27"/>
  <c r="T22" i="27"/>
  <c r="U22" i="27" s="1"/>
  <c r="V22" i="27" s="1"/>
  <c r="X47" i="27"/>
  <c r="W47" i="27"/>
  <c r="W39" i="27"/>
  <c r="X39" i="27"/>
  <c r="X22" i="23"/>
  <c r="W22" i="23"/>
  <c r="R32" i="23"/>
  <c r="T32" i="23" s="1"/>
  <c r="U32" i="23" s="1"/>
  <c r="V32" i="23" s="1"/>
  <c r="X38" i="23"/>
  <c r="W38" i="23"/>
  <c r="G19" i="7"/>
  <c r="G36" i="7"/>
  <c r="G18" i="7"/>
  <c r="G39" i="7"/>
  <c r="G38" i="7"/>
  <c r="G43" i="7"/>
  <c r="G20" i="7"/>
  <c r="G41" i="7"/>
  <c r="G25" i="7"/>
  <c r="G9" i="7"/>
  <c r="G32" i="7"/>
  <c r="G16" i="7"/>
  <c r="I42" i="7"/>
  <c r="I43" i="7"/>
  <c r="F40" i="7"/>
  <c r="I7" i="7"/>
  <c r="F8" i="7"/>
  <c r="F6" i="7"/>
  <c r="I41" i="7"/>
  <c r="I5" i="7"/>
  <c r="F41" i="7"/>
  <c r="F7" i="7"/>
  <c r="G5" i="7"/>
  <c r="I38" i="7"/>
  <c r="F39" i="7"/>
  <c r="I6" i="7"/>
  <c r="F38" i="7"/>
  <c r="G7" i="7"/>
  <c r="G31" i="7"/>
  <c r="G11" i="7"/>
  <c r="G30" i="7"/>
  <c r="G14" i="7"/>
  <c r="G37" i="7"/>
  <c r="G21" i="7"/>
  <c r="F43" i="7"/>
  <c r="G28" i="7"/>
  <c r="G12" i="7"/>
  <c r="G15" i="7"/>
  <c r="G27" i="7"/>
  <c r="G42" i="7"/>
  <c r="G10" i="7"/>
  <c r="G33" i="7"/>
  <c r="G17" i="7"/>
  <c r="G40" i="7"/>
  <c r="G24" i="7"/>
  <c r="G8" i="7"/>
  <c r="F9" i="7"/>
  <c r="F13" i="7"/>
  <c r="F17" i="7"/>
  <c r="F21" i="7"/>
  <c r="F25" i="7"/>
  <c r="F29" i="7"/>
  <c r="F33" i="7"/>
  <c r="F37" i="7"/>
  <c r="F10" i="7"/>
  <c r="F14" i="7"/>
  <c r="F18" i="7"/>
  <c r="F22" i="7"/>
  <c r="F26" i="7"/>
  <c r="F30" i="7"/>
  <c r="F34" i="7"/>
  <c r="F42" i="7"/>
  <c r="F11" i="7"/>
  <c r="F15" i="7"/>
  <c r="F19" i="7"/>
  <c r="F23" i="7"/>
  <c r="F27" i="7"/>
  <c r="F31" i="7"/>
  <c r="F35" i="7"/>
  <c r="F12" i="7"/>
  <c r="F16" i="7"/>
  <c r="F20" i="7"/>
  <c r="F24" i="7"/>
  <c r="F28" i="7"/>
  <c r="F32" i="7"/>
  <c r="F36" i="7"/>
  <c r="K4" i="7"/>
  <c r="I9" i="7"/>
  <c r="I13" i="7"/>
  <c r="I17" i="7"/>
  <c r="I21" i="7"/>
  <c r="I25" i="7"/>
  <c r="I29" i="7"/>
  <c r="I33" i="7"/>
  <c r="I37" i="7"/>
  <c r="I10" i="7"/>
  <c r="I14" i="7"/>
  <c r="I18" i="7"/>
  <c r="I22" i="7"/>
  <c r="I26" i="7"/>
  <c r="I30" i="7"/>
  <c r="I34" i="7"/>
  <c r="I12" i="7"/>
  <c r="I20" i="7"/>
  <c r="I28" i="7"/>
  <c r="I36" i="7"/>
  <c r="I11" i="7"/>
  <c r="I15" i="7"/>
  <c r="I19" i="7"/>
  <c r="I23" i="7"/>
  <c r="I27" i="7"/>
  <c r="I31" i="7"/>
  <c r="I35" i="7"/>
  <c r="I39" i="7"/>
  <c r="O4" i="7"/>
  <c r="I8" i="7"/>
  <c r="I16" i="7"/>
  <c r="I24" i="7"/>
  <c r="I32" i="7"/>
  <c r="I40" i="7"/>
  <c r="X41" i="27" l="1"/>
  <c r="X35" i="27"/>
  <c r="X13" i="27"/>
  <c r="W21" i="23"/>
  <c r="X42" i="27"/>
  <c r="X17" i="27"/>
  <c r="X44" i="23"/>
  <c r="X37" i="27"/>
  <c r="X22" i="27"/>
  <c r="W22" i="27"/>
  <c r="X5" i="27"/>
  <c r="Y11" i="27" s="1"/>
  <c r="X32" i="23"/>
  <c r="W32" i="23"/>
  <c r="X34" i="27"/>
  <c r="W34" i="27"/>
  <c r="W33" i="27"/>
  <c r="X33" i="27"/>
  <c r="W28" i="27"/>
  <c r="X28" i="27"/>
  <c r="W20" i="27"/>
  <c r="X20" i="27"/>
  <c r="X48" i="27"/>
  <c r="W48" i="27"/>
  <c r="X30" i="27"/>
  <c r="W30" i="27"/>
  <c r="X16" i="23"/>
  <c r="W16" i="23"/>
  <c r="X5" i="23"/>
  <c r="Y11" i="23" s="1"/>
  <c r="W26" i="27"/>
  <c r="X26" i="27"/>
  <c r="X46" i="27"/>
  <c r="W46" i="27"/>
  <c r="X18" i="27"/>
  <c r="W18" i="27"/>
  <c r="W50" i="27"/>
  <c r="X50" i="27"/>
  <c r="W44" i="27"/>
  <c r="X44" i="27"/>
  <c r="O5" i="7"/>
  <c r="C2" i="26" s="1"/>
  <c r="R4" i="7"/>
  <c r="I3" i="7"/>
  <c r="L4" i="7" s="1"/>
  <c r="L17" i="7" s="1"/>
  <c r="W11" i="23" l="1"/>
  <c r="W11" i="27"/>
  <c r="X3" i="27" s="1"/>
  <c r="X11" i="23"/>
  <c r="X11" i="27"/>
  <c r="X3" i="23"/>
  <c r="E8" i="25" s="1"/>
  <c r="F8" i="25"/>
  <c r="O14" i="7"/>
  <c r="H36" i="11" s="1"/>
  <c r="F5" i="20"/>
  <c r="F5" i="11"/>
  <c r="P4" i="7"/>
  <c r="Q4" i="7"/>
  <c r="T4" i="7"/>
  <c r="S4" i="7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6" i="26" l="1"/>
  <c r="G5" i="20"/>
  <c r="G5" i="11"/>
  <c r="I4" i="8"/>
  <c r="J21" i="26" l="1"/>
  <c r="N21" i="26" s="1"/>
  <c r="R21" i="26" s="1"/>
  <c r="J16" i="26"/>
  <c r="N16" i="26" s="1"/>
  <c r="R16" i="26" s="1"/>
  <c r="J13" i="26"/>
  <c r="N13" i="26" s="1"/>
  <c r="R13" i="26" s="1"/>
  <c r="J20" i="26"/>
  <c r="N20" i="26" s="1"/>
  <c r="R20" i="26" s="1"/>
  <c r="J19" i="26"/>
  <c r="N19" i="26" s="1"/>
  <c r="R19" i="26" s="1"/>
  <c r="J18" i="26"/>
  <c r="N18" i="26" s="1"/>
  <c r="R18" i="26" s="1"/>
  <c r="J25" i="26"/>
  <c r="N25" i="26" s="1"/>
  <c r="R25" i="26" s="1"/>
  <c r="J29" i="26"/>
  <c r="N29" i="26" s="1"/>
  <c r="R29" i="26" s="1"/>
  <c r="J33" i="26"/>
  <c r="N33" i="26" s="1"/>
  <c r="R33" i="26" s="1"/>
  <c r="J37" i="26"/>
  <c r="N37" i="26" s="1"/>
  <c r="R37" i="26" s="1"/>
  <c r="J41" i="26"/>
  <c r="N41" i="26" s="1"/>
  <c r="R41" i="26" s="1"/>
  <c r="J45" i="26"/>
  <c r="N45" i="26" s="1"/>
  <c r="R45" i="26" s="1"/>
  <c r="J49" i="26"/>
  <c r="N49" i="26" s="1"/>
  <c r="R49" i="26" s="1"/>
  <c r="J28" i="26"/>
  <c r="N28" i="26" s="1"/>
  <c r="R28" i="26" s="1"/>
  <c r="J36" i="26"/>
  <c r="N36" i="26" s="1"/>
  <c r="R36" i="26" s="1"/>
  <c r="J48" i="26"/>
  <c r="N48" i="26" s="1"/>
  <c r="R48" i="26" s="1"/>
  <c r="J14" i="26"/>
  <c r="N14" i="26" s="1"/>
  <c r="R14" i="26" s="1"/>
  <c r="J22" i="26"/>
  <c r="N22" i="26" s="1"/>
  <c r="J26" i="26"/>
  <c r="N26" i="26" s="1"/>
  <c r="R26" i="26" s="1"/>
  <c r="J30" i="26"/>
  <c r="N30" i="26" s="1"/>
  <c r="R30" i="26" s="1"/>
  <c r="J34" i="26"/>
  <c r="N34" i="26" s="1"/>
  <c r="R34" i="26" s="1"/>
  <c r="J38" i="26"/>
  <c r="N38" i="26" s="1"/>
  <c r="R38" i="26" s="1"/>
  <c r="J42" i="26"/>
  <c r="N42" i="26" s="1"/>
  <c r="R42" i="26" s="1"/>
  <c r="J46" i="26"/>
  <c r="N46" i="26" s="1"/>
  <c r="R46" i="26" s="1"/>
  <c r="J50" i="26"/>
  <c r="N50" i="26" s="1"/>
  <c r="R50" i="26" s="1"/>
  <c r="J24" i="26"/>
  <c r="N24" i="26" s="1"/>
  <c r="R24" i="26" s="1"/>
  <c r="J40" i="26"/>
  <c r="N40" i="26" s="1"/>
  <c r="R40" i="26" s="1"/>
  <c r="J15" i="26"/>
  <c r="N15" i="26" s="1"/>
  <c r="R15" i="26" s="1"/>
  <c r="J23" i="26"/>
  <c r="N23" i="26" s="1"/>
  <c r="R23" i="26" s="1"/>
  <c r="J27" i="26"/>
  <c r="N27" i="26" s="1"/>
  <c r="R27" i="26" s="1"/>
  <c r="J31" i="26"/>
  <c r="N31" i="26" s="1"/>
  <c r="R31" i="26" s="1"/>
  <c r="J35" i="26"/>
  <c r="N35" i="26" s="1"/>
  <c r="R35" i="26" s="1"/>
  <c r="J39" i="26"/>
  <c r="N39" i="26" s="1"/>
  <c r="R39" i="26" s="1"/>
  <c r="J43" i="26"/>
  <c r="N43" i="26" s="1"/>
  <c r="R43" i="26" s="1"/>
  <c r="J47" i="26"/>
  <c r="N47" i="26" s="1"/>
  <c r="R47" i="26" s="1"/>
  <c r="J51" i="26"/>
  <c r="N51" i="26" s="1"/>
  <c r="J17" i="26"/>
  <c r="N17" i="26" s="1"/>
  <c r="R17" i="26" s="1"/>
  <c r="J32" i="26"/>
  <c r="N32" i="26" s="1"/>
  <c r="R32" i="26" s="1"/>
  <c r="J44" i="26"/>
  <c r="N44" i="26" s="1"/>
  <c r="R44" i="26" s="1"/>
  <c r="S33" i="26"/>
  <c r="S29" i="26"/>
  <c r="S25" i="26"/>
  <c r="S21" i="26"/>
  <c r="S50" i="26"/>
  <c r="S46" i="26"/>
  <c r="S42" i="26"/>
  <c r="S37" i="26"/>
  <c r="S12" i="26"/>
  <c r="S34" i="26"/>
  <c r="S26" i="26"/>
  <c r="S51" i="26"/>
  <c r="S36" i="26"/>
  <c r="S15" i="26"/>
  <c r="S39" i="26"/>
  <c r="S32" i="26"/>
  <c r="S28" i="26"/>
  <c r="S24" i="26"/>
  <c r="S20" i="26"/>
  <c r="S49" i="26"/>
  <c r="S45" i="26"/>
  <c r="S41" i="26"/>
  <c r="S18" i="26"/>
  <c r="S17" i="26"/>
  <c r="S43" i="26"/>
  <c r="S35" i="26"/>
  <c r="S31" i="26"/>
  <c r="S27" i="26"/>
  <c r="S23" i="26"/>
  <c r="S19" i="26"/>
  <c r="S48" i="26"/>
  <c r="S44" i="26"/>
  <c r="S40" i="26"/>
  <c r="S14" i="26"/>
  <c r="S16" i="26"/>
  <c r="S38" i="26"/>
  <c r="S30" i="26"/>
  <c r="S22" i="26"/>
  <c r="S47" i="26"/>
  <c r="S13" i="26"/>
  <c r="N15" i="8"/>
  <c r="Q4" i="8"/>
  <c r="C6" i="29" s="1"/>
  <c r="R15" i="8"/>
  <c r="L5" i="8"/>
  <c r="M5" i="8" s="1"/>
  <c r="J5" i="8"/>
  <c r="C6" i="22" s="1"/>
  <c r="K15" i="8"/>
  <c r="S20" i="22" l="1"/>
  <c r="S15" i="22"/>
  <c r="S13" i="22"/>
  <c r="S18" i="22"/>
  <c r="S17" i="22"/>
  <c r="S16" i="22"/>
  <c r="S22" i="22"/>
  <c r="S21" i="22"/>
  <c r="S12" i="22"/>
  <c r="S14" i="22"/>
  <c r="S19" i="22"/>
  <c r="S48" i="22"/>
  <c r="S44" i="22"/>
  <c r="S40" i="22"/>
  <c r="S36" i="22"/>
  <c r="S32" i="22"/>
  <c r="S28" i="22"/>
  <c r="S24" i="22"/>
  <c r="S51" i="22"/>
  <c r="S47" i="22"/>
  <c r="S43" i="22"/>
  <c r="S39" i="22"/>
  <c r="S35" i="22"/>
  <c r="S31" i="22"/>
  <c r="S27" i="22"/>
  <c r="S23" i="22"/>
  <c r="S45" i="22"/>
  <c r="S37" i="22"/>
  <c r="S29" i="22"/>
  <c r="S50" i="22"/>
  <c r="S46" i="22"/>
  <c r="S42" i="22"/>
  <c r="S38" i="22"/>
  <c r="S34" i="22"/>
  <c r="S30" i="22"/>
  <c r="S26" i="22"/>
  <c r="S49" i="22"/>
  <c r="S41" i="22"/>
  <c r="S33" i="22"/>
  <c r="S25" i="22"/>
  <c r="J50" i="22"/>
  <c r="N50" i="22" s="1"/>
  <c r="R50" i="22" s="1"/>
  <c r="J48" i="22"/>
  <c r="N48" i="22" s="1"/>
  <c r="R48" i="22" s="1"/>
  <c r="J24" i="22"/>
  <c r="N24" i="22" s="1"/>
  <c r="R24" i="22" s="1"/>
  <c r="J20" i="22"/>
  <c r="N20" i="22" s="1"/>
  <c r="R20" i="22" s="1"/>
  <c r="J33" i="22"/>
  <c r="N33" i="22" s="1"/>
  <c r="R33" i="22" s="1"/>
  <c r="J18" i="22"/>
  <c r="N18" i="22" s="1"/>
  <c r="R18" i="22" s="1"/>
  <c r="J15" i="22"/>
  <c r="N15" i="22" s="1"/>
  <c r="R15" i="22" s="1"/>
  <c r="J32" i="22"/>
  <c r="N32" i="22" s="1"/>
  <c r="R32" i="22" s="1"/>
  <c r="T32" i="22" s="1"/>
  <c r="U32" i="22" s="1"/>
  <c r="V32" i="22" s="1"/>
  <c r="J25" i="22"/>
  <c r="N25" i="22" s="1"/>
  <c r="R25" i="22" s="1"/>
  <c r="J47" i="22"/>
  <c r="N47" i="22" s="1"/>
  <c r="R47" i="22" s="1"/>
  <c r="J41" i="22"/>
  <c r="N41" i="22" s="1"/>
  <c r="R41" i="22" s="1"/>
  <c r="J39" i="22"/>
  <c r="N39" i="22" s="1"/>
  <c r="R39" i="22" s="1"/>
  <c r="J22" i="22"/>
  <c r="N22" i="22" s="1"/>
  <c r="R22" i="22" s="1"/>
  <c r="J27" i="22"/>
  <c r="N27" i="22" s="1"/>
  <c r="R27" i="22" s="1"/>
  <c r="T27" i="22" s="1"/>
  <c r="U27" i="22" s="1"/>
  <c r="V27" i="22" s="1"/>
  <c r="J28" i="22"/>
  <c r="N28" i="22" s="1"/>
  <c r="R28" i="22" s="1"/>
  <c r="J35" i="22"/>
  <c r="N35" i="22" s="1"/>
  <c r="R35" i="22" s="1"/>
  <c r="J45" i="22"/>
  <c r="N45" i="22" s="1"/>
  <c r="R45" i="22" s="1"/>
  <c r="J17" i="22"/>
  <c r="N17" i="22" s="1"/>
  <c r="R17" i="22" s="1"/>
  <c r="T17" i="22" s="1"/>
  <c r="U17" i="22" s="1"/>
  <c r="V17" i="22" s="1"/>
  <c r="J29" i="22"/>
  <c r="N29" i="22" s="1"/>
  <c r="R29" i="22" s="1"/>
  <c r="J16" i="22"/>
  <c r="N16" i="22" s="1"/>
  <c r="R16" i="22" s="1"/>
  <c r="J13" i="22"/>
  <c r="N13" i="22" s="1"/>
  <c r="R13" i="22" s="1"/>
  <c r="J14" i="22"/>
  <c r="N14" i="22" s="1"/>
  <c r="R14" i="22" s="1"/>
  <c r="T14" i="22" s="1"/>
  <c r="U14" i="22" s="1"/>
  <c r="V14" i="22" s="1"/>
  <c r="J44" i="22"/>
  <c r="N44" i="22" s="1"/>
  <c r="R44" i="22" s="1"/>
  <c r="J31" i="22"/>
  <c r="N31" i="22" s="1"/>
  <c r="R31" i="22" s="1"/>
  <c r="T31" i="22" s="1"/>
  <c r="U31" i="22" s="1"/>
  <c r="V31" i="22" s="1"/>
  <c r="J19" i="22"/>
  <c r="N19" i="22" s="1"/>
  <c r="R19" i="22" s="1"/>
  <c r="J37" i="22"/>
  <c r="N37" i="22" s="1"/>
  <c r="R37" i="22" s="1"/>
  <c r="J30" i="22"/>
  <c r="N30" i="22" s="1"/>
  <c r="R30" i="22" s="1"/>
  <c r="T30" i="22" s="1"/>
  <c r="U30" i="22" s="1"/>
  <c r="V30" i="22" s="1"/>
  <c r="J34" i="22"/>
  <c r="N34" i="22" s="1"/>
  <c r="R34" i="22" s="1"/>
  <c r="J23" i="22"/>
  <c r="N23" i="22" s="1"/>
  <c r="R23" i="22" s="1"/>
  <c r="J46" i="22"/>
  <c r="N46" i="22" s="1"/>
  <c r="R46" i="22" s="1"/>
  <c r="J42" i="22"/>
  <c r="N42" i="22" s="1"/>
  <c r="R42" i="22" s="1"/>
  <c r="J21" i="22"/>
  <c r="N21" i="22" s="1"/>
  <c r="R21" i="22" s="1"/>
  <c r="T21" i="22" s="1"/>
  <c r="U21" i="22" s="1"/>
  <c r="V21" i="22" s="1"/>
  <c r="J38" i="22"/>
  <c r="N38" i="22" s="1"/>
  <c r="R38" i="22" s="1"/>
  <c r="T38" i="22" s="1"/>
  <c r="U38" i="22" s="1"/>
  <c r="V38" i="22" s="1"/>
  <c r="J43" i="22"/>
  <c r="N43" i="22" s="1"/>
  <c r="R43" i="22" s="1"/>
  <c r="T43" i="22" s="1"/>
  <c r="U43" i="22" s="1"/>
  <c r="V43" i="22" s="1"/>
  <c r="J36" i="22"/>
  <c r="N36" i="22" s="1"/>
  <c r="R36" i="22" s="1"/>
  <c r="T36" i="22" s="1"/>
  <c r="U36" i="22" s="1"/>
  <c r="V36" i="22" s="1"/>
  <c r="J26" i="22"/>
  <c r="N26" i="22" s="1"/>
  <c r="R26" i="22" s="1"/>
  <c r="T26" i="22" s="1"/>
  <c r="U26" i="22" s="1"/>
  <c r="V26" i="22" s="1"/>
  <c r="J51" i="22"/>
  <c r="N51" i="22" s="1"/>
  <c r="R51" i="22" s="1"/>
  <c r="J40" i="22"/>
  <c r="N40" i="22" s="1"/>
  <c r="R40" i="22" s="1"/>
  <c r="T40" i="22" s="1"/>
  <c r="U40" i="22" s="1"/>
  <c r="V40" i="22" s="1"/>
  <c r="J49" i="22"/>
  <c r="N49" i="22" s="1"/>
  <c r="R49" i="22" s="1"/>
  <c r="S30" i="29"/>
  <c r="S14" i="29"/>
  <c r="S21" i="29"/>
  <c r="S38" i="29"/>
  <c r="S41" i="29"/>
  <c r="S40" i="29"/>
  <c r="S43" i="29"/>
  <c r="S28" i="29"/>
  <c r="S31" i="29"/>
  <c r="S25" i="29"/>
  <c r="S29" i="29"/>
  <c r="S26" i="29"/>
  <c r="S16" i="29"/>
  <c r="S46" i="29"/>
  <c r="S49" i="29"/>
  <c r="S51" i="29"/>
  <c r="S35" i="29"/>
  <c r="S23" i="29"/>
  <c r="S17" i="29"/>
  <c r="S44" i="29"/>
  <c r="S32" i="29"/>
  <c r="S19" i="29"/>
  <c r="S50" i="29"/>
  <c r="S34" i="29"/>
  <c r="S37" i="29"/>
  <c r="S36" i="29"/>
  <c r="S39" i="29"/>
  <c r="S24" i="29"/>
  <c r="S27" i="29"/>
  <c r="S13" i="29"/>
  <c r="S15" i="29"/>
  <c r="S48" i="29"/>
  <c r="S20" i="29"/>
  <c r="S18" i="29"/>
  <c r="S22" i="29"/>
  <c r="S12" i="29"/>
  <c r="T12" i="29" s="1"/>
  <c r="U12" i="29" s="1"/>
  <c r="V12" i="29" s="1"/>
  <c r="S42" i="29"/>
  <c r="S45" i="29"/>
  <c r="S47" i="29"/>
  <c r="S33" i="29"/>
  <c r="J51" i="29"/>
  <c r="N51" i="29" s="1"/>
  <c r="R51" i="29" s="1"/>
  <c r="J49" i="29"/>
  <c r="N49" i="29" s="1"/>
  <c r="R49" i="29" s="1"/>
  <c r="J46" i="29"/>
  <c r="N46" i="29" s="1"/>
  <c r="R46" i="29" s="1"/>
  <c r="T46" i="29" s="1"/>
  <c r="U46" i="29" s="1"/>
  <c r="V46" i="29" s="1"/>
  <c r="J24" i="29"/>
  <c r="N24" i="29" s="1"/>
  <c r="R24" i="29" s="1"/>
  <c r="T24" i="29" s="1"/>
  <c r="U24" i="29" s="1"/>
  <c r="V24" i="29" s="1"/>
  <c r="J48" i="29"/>
  <c r="N48" i="29" s="1"/>
  <c r="R48" i="29" s="1"/>
  <c r="J33" i="29"/>
  <c r="N33" i="29" s="1"/>
  <c r="R33" i="29" s="1"/>
  <c r="J45" i="29"/>
  <c r="N45" i="29" s="1"/>
  <c r="R45" i="29" s="1"/>
  <c r="T45" i="29" s="1"/>
  <c r="U45" i="29" s="1"/>
  <c r="V45" i="29" s="1"/>
  <c r="J18" i="29"/>
  <c r="N18" i="29" s="1"/>
  <c r="R18" i="29" s="1"/>
  <c r="J34" i="29"/>
  <c r="N34" i="29" s="1"/>
  <c r="R34" i="29" s="1"/>
  <c r="J38" i="29"/>
  <c r="N38" i="29" s="1"/>
  <c r="R38" i="29" s="1"/>
  <c r="J43" i="29"/>
  <c r="N43" i="29" s="1"/>
  <c r="R43" i="29" s="1"/>
  <c r="T43" i="29" s="1"/>
  <c r="U43" i="29" s="1"/>
  <c r="V43" i="29" s="1"/>
  <c r="J23" i="29"/>
  <c r="N23" i="29" s="1"/>
  <c r="R23" i="29" s="1"/>
  <c r="J16" i="29"/>
  <c r="N16" i="29" s="1"/>
  <c r="R16" i="29" s="1"/>
  <c r="T16" i="29" s="1"/>
  <c r="U16" i="29" s="1"/>
  <c r="V16" i="29" s="1"/>
  <c r="J35" i="29"/>
  <c r="N35" i="29" s="1"/>
  <c r="R35" i="29" s="1"/>
  <c r="J36" i="29"/>
  <c r="N36" i="29" s="1"/>
  <c r="R36" i="29" s="1"/>
  <c r="T36" i="29" s="1"/>
  <c r="U36" i="29" s="1"/>
  <c r="V36" i="29" s="1"/>
  <c r="J14" i="29"/>
  <c r="N14" i="29" s="1"/>
  <c r="R14" i="29" s="1"/>
  <c r="J30" i="29"/>
  <c r="N30" i="29" s="1"/>
  <c r="R30" i="29" s="1"/>
  <c r="T30" i="29" s="1"/>
  <c r="U30" i="29" s="1"/>
  <c r="V30" i="29" s="1"/>
  <c r="J37" i="29"/>
  <c r="N37" i="29" s="1"/>
  <c r="R37" i="29" s="1"/>
  <c r="J20" i="29"/>
  <c r="N20" i="29" s="1"/>
  <c r="R20" i="29" s="1"/>
  <c r="J32" i="29"/>
  <c r="N32" i="29" s="1"/>
  <c r="R32" i="29" s="1"/>
  <c r="J39" i="29"/>
  <c r="N39" i="29" s="1"/>
  <c r="R39" i="29" s="1"/>
  <c r="J50" i="29"/>
  <c r="N50" i="29" s="1"/>
  <c r="R50" i="29" s="1"/>
  <c r="J41" i="29"/>
  <c r="N41" i="29" s="1"/>
  <c r="R41" i="29" s="1"/>
  <c r="J15" i="29"/>
  <c r="N15" i="29" s="1"/>
  <c r="R15" i="29" s="1"/>
  <c r="J25" i="29"/>
  <c r="N25" i="29" s="1"/>
  <c r="R25" i="29" s="1"/>
  <c r="J29" i="29"/>
  <c r="N29" i="29" s="1"/>
  <c r="R29" i="29" s="1"/>
  <c r="J27" i="29"/>
  <c r="N27" i="29" s="1"/>
  <c r="R27" i="29" s="1"/>
  <c r="J13" i="29"/>
  <c r="N13" i="29" s="1"/>
  <c r="J26" i="29"/>
  <c r="N26" i="29" s="1"/>
  <c r="R26" i="29" s="1"/>
  <c r="J22" i="29"/>
  <c r="N22" i="29" s="1"/>
  <c r="R22" i="29" s="1"/>
  <c r="J19" i="29"/>
  <c r="N19" i="29" s="1"/>
  <c r="R19" i="29" s="1"/>
  <c r="T19" i="29" s="1"/>
  <c r="U19" i="29" s="1"/>
  <c r="V19" i="29" s="1"/>
  <c r="J42" i="29"/>
  <c r="N42" i="29" s="1"/>
  <c r="R42" i="29" s="1"/>
  <c r="J40" i="29"/>
  <c r="N40" i="29" s="1"/>
  <c r="R40" i="29" s="1"/>
  <c r="J21" i="29"/>
  <c r="N21" i="29" s="1"/>
  <c r="R21" i="29" s="1"/>
  <c r="J17" i="29"/>
  <c r="N17" i="29" s="1"/>
  <c r="R17" i="29" s="1"/>
  <c r="T17" i="29" s="1"/>
  <c r="U17" i="29" s="1"/>
  <c r="V17" i="29" s="1"/>
  <c r="J44" i="29"/>
  <c r="N44" i="29" s="1"/>
  <c r="R44" i="29" s="1"/>
  <c r="T44" i="29" s="1"/>
  <c r="U44" i="29" s="1"/>
  <c r="V44" i="29" s="1"/>
  <c r="J31" i="29"/>
  <c r="N31" i="29" s="1"/>
  <c r="R31" i="29" s="1"/>
  <c r="T31" i="29" s="1"/>
  <c r="U31" i="29" s="1"/>
  <c r="V31" i="29" s="1"/>
  <c r="J47" i="29"/>
  <c r="N47" i="29" s="1"/>
  <c r="R47" i="29" s="1"/>
  <c r="J28" i="29"/>
  <c r="N28" i="29" s="1"/>
  <c r="R28" i="29" s="1"/>
  <c r="T35" i="26"/>
  <c r="U35" i="26" s="1"/>
  <c r="V35" i="26" s="1"/>
  <c r="T15" i="26"/>
  <c r="U15" i="26" s="1"/>
  <c r="V15" i="26" s="1"/>
  <c r="T46" i="26"/>
  <c r="U46" i="26" s="1"/>
  <c r="V46" i="26" s="1"/>
  <c r="T48" i="26"/>
  <c r="U48" i="26" s="1"/>
  <c r="V48" i="26" s="1"/>
  <c r="X48" i="26" s="1"/>
  <c r="T29" i="26"/>
  <c r="U29" i="26" s="1"/>
  <c r="V29" i="26" s="1"/>
  <c r="T20" i="26"/>
  <c r="U20" i="26" s="1"/>
  <c r="V20" i="26" s="1"/>
  <c r="T47" i="26"/>
  <c r="U47" i="26" s="1"/>
  <c r="V47" i="26" s="1"/>
  <c r="T31" i="26"/>
  <c r="U31" i="26" s="1"/>
  <c r="V31" i="26" s="1"/>
  <c r="W31" i="26" s="1"/>
  <c r="T42" i="26"/>
  <c r="U42" i="26" s="1"/>
  <c r="V42" i="26" s="1"/>
  <c r="T26" i="26"/>
  <c r="U26" i="26" s="1"/>
  <c r="V26" i="26" s="1"/>
  <c r="X26" i="26" s="1"/>
  <c r="T41" i="26"/>
  <c r="U41" i="26" s="1"/>
  <c r="V41" i="26" s="1"/>
  <c r="T25" i="26"/>
  <c r="U25" i="26" s="1"/>
  <c r="V25" i="26" s="1"/>
  <c r="X25" i="26" s="1"/>
  <c r="T39" i="26"/>
  <c r="U39" i="26" s="1"/>
  <c r="V39" i="26" s="1"/>
  <c r="W35" i="26"/>
  <c r="X35" i="26"/>
  <c r="X46" i="26"/>
  <c r="W46" i="26"/>
  <c r="T30" i="26"/>
  <c r="U30" i="26" s="1"/>
  <c r="V30" i="26" s="1"/>
  <c r="T45" i="26"/>
  <c r="U45" i="26" s="1"/>
  <c r="V45" i="26" s="1"/>
  <c r="X20" i="26"/>
  <c r="W20" i="26"/>
  <c r="T44" i="26"/>
  <c r="U44" i="26" s="1"/>
  <c r="V44" i="26" s="1"/>
  <c r="X31" i="26"/>
  <c r="W42" i="26"/>
  <c r="X42" i="26"/>
  <c r="W41" i="26"/>
  <c r="X41" i="26"/>
  <c r="T13" i="26"/>
  <c r="U13" i="26" s="1"/>
  <c r="V13" i="26" s="1"/>
  <c r="T32" i="26"/>
  <c r="U32" i="26" s="1"/>
  <c r="V32" i="26" s="1"/>
  <c r="T43" i="26"/>
  <c r="U43" i="26" s="1"/>
  <c r="V43" i="26" s="1"/>
  <c r="T27" i="26"/>
  <c r="U27" i="26" s="1"/>
  <c r="V27" i="26" s="1"/>
  <c r="T24" i="26"/>
  <c r="U24" i="26" s="1"/>
  <c r="V24" i="26" s="1"/>
  <c r="T38" i="26"/>
  <c r="U38" i="26" s="1"/>
  <c r="V38" i="26" s="1"/>
  <c r="R22" i="26"/>
  <c r="T22" i="26" s="1"/>
  <c r="U22" i="26" s="1"/>
  <c r="V22" i="26" s="1"/>
  <c r="T28" i="26"/>
  <c r="U28" i="26" s="1"/>
  <c r="V28" i="26" s="1"/>
  <c r="T37" i="26"/>
  <c r="U37" i="26" s="1"/>
  <c r="V37" i="26" s="1"/>
  <c r="T18" i="26"/>
  <c r="U18" i="26" s="1"/>
  <c r="V18" i="26" s="1"/>
  <c r="T16" i="26"/>
  <c r="U16" i="26" s="1"/>
  <c r="V16" i="26" s="1"/>
  <c r="T12" i="26"/>
  <c r="V12" i="26" s="1"/>
  <c r="R51" i="26"/>
  <c r="T51" i="26" s="1"/>
  <c r="V51" i="26" s="1"/>
  <c r="X15" i="26"/>
  <c r="W15" i="26"/>
  <c r="W29" i="26"/>
  <c r="X29" i="26"/>
  <c r="W47" i="26"/>
  <c r="X47" i="26"/>
  <c r="T40" i="26"/>
  <c r="U40" i="26" s="1"/>
  <c r="V40" i="26" s="1"/>
  <c r="W26" i="26"/>
  <c r="T36" i="26"/>
  <c r="U36" i="26" s="1"/>
  <c r="V36" i="26" s="1"/>
  <c r="T17" i="26"/>
  <c r="U17" i="26" s="1"/>
  <c r="V17" i="26" s="1"/>
  <c r="X39" i="26"/>
  <c r="W39" i="26"/>
  <c r="T23" i="26"/>
  <c r="U23" i="26" s="1"/>
  <c r="V23" i="26" s="1"/>
  <c r="T50" i="26"/>
  <c r="U50" i="26" s="1"/>
  <c r="V50" i="26" s="1"/>
  <c r="T34" i="26"/>
  <c r="U34" i="26" s="1"/>
  <c r="V34" i="26" s="1"/>
  <c r="T14" i="26"/>
  <c r="U14" i="26" s="1"/>
  <c r="V14" i="26" s="1"/>
  <c r="T49" i="26"/>
  <c r="U49" i="26" s="1"/>
  <c r="V49" i="26" s="1"/>
  <c r="T33" i="26"/>
  <c r="U33" i="26" s="1"/>
  <c r="V33" i="26" s="1"/>
  <c r="T19" i="26"/>
  <c r="U19" i="26" s="1"/>
  <c r="V19" i="26" s="1"/>
  <c r="T21" i="26"/>
  <c r="U21" i="26" s="1"/>
  <c r="V21" i="26" s="1"/>
  <c r="O4" i="8"/>
  <c r="S4" i="8"/>
  <c r="R4" i="8"/>
  <c r="L18" i="8"/>
  <c r="L15" i="8"/>
  <c r="F3" i="7"/>
  <c r="J4" i="7" s="1"/>
  <c r="T15" i="29" l="1"/>
  <c r="U15" i="29" s="1"/>
  <c r="V15" i="29" s="1"/>
  <c r="T14" i="29"/>
  <c r="U14" i="29" s="1"/>
  <c r="V14" i="29" s="1"/>
  <c r="T23" i="29"/>
  <c r="U23" i="29" s="1"/>
  <c r="V23" i="29" s="1"/>
  <c r="T18" i="29"/>
  <c r="U18" i="29" s="1"/>
  <c r="V18" i="29" s="1"/>
  <c r="X18" i="29" s="1"/>
  <c r="T49" i="22"/>
  <c r="U49" i="22" s="1"/>
  <c r="V49" i="22" s="1"/>
  <c r="T44" i="22"/>
  <c r="U44" i="22" s="1"/>
  <c r="V44" i="22" s="1"/>
  <c r="T29" i="22"/>
  <c r="U29" i="22" s="1"/>
  <c r="V29" i="22" s="1"/>
  <c r="X29" i="22" s="1"/>
  <c r="T28" i="22"/>
  <c r="U28" i="22" s="1"/>
  <c r="V28" i="22" s="1"/>
  <c r="W28" i="22" s="1"/>
  <c r="T41" i="22"/>
  <c r="U41" i="22" s="1"/>
  <c r="V41" i="22" s="1"/>
  <c r="T15" i="22"/>
  <c r="U15" i="22" s="1"/>
  <c r="V15" i="22" s="1"/>
  <c r="T24" i="22"/>
  <c r="U24" i="22" s="1"/>
  <c r="V24" i="22" s="1"/>
  <c r="X24" i="22" s="1"/>
  <c r="T47" i="29"/>
  <c r="U47" i="29" s="1"/>
  <c r="V47" i="29" s="1"/>
  <c r="W47" i="29" s="1"/>
  <c r="T21" i="29"/>
  <c r="U21" i="29" s="1"/>
  <c r="V21" i="29" s="1"/>
  <c r="T22" i="29"/>
  <c r="U22" i="29" s="1"/>
  <c r="V22" i="29" s="1"/>
  <c r="W22" i="29" s="1"/>
  <c r="T29" i="29"/>
  <c r="U29" i="29" s="1"/>
  <c r="V29" i="29" s="1"/>
  <c r="W29" i="29" s="1"/>
  <c r="T50" i="29"/>
  <c r="U50" i="29" s="1"/>
  <c r="V50" i="29" s="1"/>
  <c r="W50" i="29" s="1"/>
  <c r="T23" i="22"/>
  <c r="U23" i="22" s="1"/>
  <c r="V23" i="22" s="1"/>
  <c r="T40" i="29"/>
  <c r="U40" i="29" s="1"/>
  <c r="V40" i="29" s="1"/>
  <c r="T26" i="29"/>
  <c r="U26" i="29" s="1"/>
  <c r="V26" i="29" s="1"/>
  <c r="W26" i="29" s="1"/>
  <c r="T25" i="29"/>
  <c r="U25" i="29" s="1"/>
  <c r="V25" i="29" s="1"/>
  <c r="X25" i="29" s="1"/>
  <c r="T39" i="29"/>
  <c r="U39" i="29" s="1"/>
  <c r="V39" i="29" s="1"/>
  <c r="X39" i="29" s="1"/>
  <c r="T34" i="29"/>
  <c r="U34" i="29" s="1"/>
  <c r="V34" i="29" s="1"/>
  <c r="X34" i="29" s="1"/>
  <c r="T48" i="29"/>
  <c r="U48" i="29" s="1"/>
  <c r="V48" i="29" s="1"/>
  <c r="W48" i="29" s="1"/>
  <c r="T51" i="29"/>
  <c r="U51" i="29" s="1"/>
  <c r="V51" i="29" s="1"/>
  <c r="W51" i="29" s="1"/>
  <c r="T34" i="22"/>
  <c r="U34" i="22" s="1"/>
  <c r="V34" i="22" s="1"/>
  <c r="W34" i="22" s="1"/>
  <c r="T16" i="22"/>
  <c r="U16" i="22" s="1"/>
  <c r="V16" i="22" s="1"/>
  <c r="W16" i="22" s="1"/>
  <c r="T35" i="22"/>
  <c r="U35" i="22" s="1"/>
  <c r="V35" i="22" s="1"/>
  <c r="W35" i="22" s="1"/>
  <c r="T39" i="22"/>
  <c r="U39" i="22" s="1"/>
  <c r="V39" i="22" s="1"/>
  <c r="X39" i="22" s="1"/>
  <c r="T20" i="22"/>
  <c r="U20" i="22" s="1"/>
  <c r="V20" i="22" s="1"/>
  <c r="W39" i="29"/>
  <c r="X51" i="29"/>
  <c r="X40" i="29"/>
  <c r="W40" i="29"/>
  <c r="X30" i="29"/>
  <c r="W30" i="29"/>
  <c r="X26" i="22"/>
  <c r="W26" i="22"/>
  <c r="X34" i="22"/>
  <c r="X16" i="22"/>
  <c r="X32" i="22"/>
  <c r="W32" i="22"/>
  <c r="T42" i="29"/>
  <c r="U42" i="29" s="1"/>
  <c r="V42" i="29" s="1"/>
  <c r="R13" i="29"/>
  <c r="T13" i="29" s="1"/>
  <c r="U13" i="29" s="1"/>
  <c r="V13" i="29" s="1"/>
  <c r="X14" i="29"/>
  <c r="W14" i="29"/>
  <c r="W24" i="29"/>
  <c r="X24" i="29"/>
  <c r="X49" i="22"/>
  <c r="W49" i="22"/>
  <c r="X30" i="22"/>
  <c r="W30" i="22"/>
  <c r="W29" i="22"/>
  <c r="X41" i="22"/>
  <c r="W41" i="22"/>
  <c r="W24" i="22"/>
  <c r="T28" i="29"/>
  <c r="U28" i="29" s="1"/>
  <c r="V28" i="29" s="1"/>
  <c r="X17" i="29"/>
  <c r="W17" i="29"/>
  <c r="X19" i="29"/>
  <c r="W19" i="29"/>
  <c r="T27" i="29"/>
  <c r="U27" i="29" s="1"/>
  <c r="V27" i="29" s="1"/>
  <c r="T41" i="29"/>
  <c r="U41" i="29" s="1"/>
  <c r="V41" i="29" s="1"/>
  <c r="T20" i="29"/>
  <c r="U20" i="29" s="1"/>
  <c r="V20" i="29" s="1"/>
  <c r="X36" i="29"/>
  <c r="W36" i="29"/>
  <c r="X43" i="29"/>
  <c r="W43" i="29"/>
  <c r="X45" i="29"/>
  <c r="W45" i="29"/>
  <c r="W46" i="29"/>
  <c r="X46" i="29"/>
  <c r="X40" i="22"/>
  <c r="W40" i="22"/>
  <c r="X43" i="22"/>
  <c r="W43" i="22"/>
  <c r="T46" i="22"/>
  <c r="U46" i="22" s="1"/>
  <c r="V46" i="22" s="1"/>
  <c r="T37" i="22"/>
  <c r="U37" i="22" s="1"/>
  <c r="V37" i="22" s="1"/>
  <c r="X14" i="22"/>
  <c r="W14" i="22"/>
  <c r="X17" i="22"/>
  <c r="W17" i="22"/>
  <c r="X27" i="22"/>
  <c r="W27" i="22"/>
  <c r="T47" i="22"/>
  <c r="U47" i="22" s="1"/>
  <c r="V47" i="22" s="1"/>
  <c r="T18" i="22"/>
  <c r="U18" i="22" s="1"/>
  <c r="V18" i="22" s="1"/>
  <c r="T48" i="22"/>
  <c r="U48" i="22" s="1"/>
  <c r="V48" i="22" s="1"/>
  <c r="X31" i="29"/>
  <c r="W31" i="29"/>
  <c r="X16" i="29"/>
  <c r="W16" i="29"/>
  <c r="W34" i="29"/>
  <c r="X21" i="22"/>
  <c r="W21" i="22"/>
  <c r="X31" i="22"/>
  <c r="W31" i="22"/>
  <c r="X20" i="22"/>
  <c r="W20" i="22"/>
  <c r="X44" i="29"/>
  <c r="W44" i="29"/>
  <c r="W15" i="29"/>
  <c r="X15" i="29"/>
  <c r="T32" i="29"/>
  <c r="U32" i="29" s="1"/>
  <c r="V32" i="29" s="1"/>
  <c r="X23" i="29"/>
  <c r="W23" i="29"/>
  <c r="X12" i="29"/>
  <c r="W12" i="29"/>
  <c r="X36" i="22"/>
  <c r="W36" i="22"/>
  <c r="T42" i="22"/>
  <c r="U42" i="22" s="1"/>
  <c r="V42" i="22" s="1"/>
  <c r="X44" i="22"/>
  <c r="W44" i="22"/>
  <c r="X28" i="22"/>
  <c r="X15" i="22"/>
  <c r="W15" i="22"/>
  <c r="X47" i="29"/>
  <c r="X21" i="29"/>
  <c r="W21" i="29"/>
  <c r="X50" i="29"/>
  <c r="T37" i="29"/>
  <c r="U37" i="29" s="1"/>
  <c r="V37" i="29" s="1"/>
  <c r="T35" i="29"/>
  <c r="U35" i="29" s="1"/>
  <c r="V35" i="29" s="1"/>
  <c r="T38" i="29"/>
  <c r="U38" i="29" s="1"/>
  <c r="V38" i="29" s="1"/>
  <c r="T33" i="29"/>
  <c r="U33" i="29" s="1"/>
  <c r="V33" i="29" s="1"/>
  <c r="T49" i="29"/>
  <c r="U49" i="29" s="1"/>
  <c r="V49" i="29" s="1"/>
  <c r="T51" i="22"/>
  <c r="U51" i="22" s="1"/>
  <c r="V51" i="22" s="1"/>
  <c r="X38" i="22"/>
  <c r="W38" i="22"/>
  <c r="X23" i="22"/>
  <c r="W23" i="22"/>
  <c r="T19" i="22"/>
  <c r="U19" i="22" s="1"/>
  <c r="V19" i="22" s="1"/>
  <c r="T13" i="22"/>
  <c r="U13" i="22" s="1"/>
  <c r="V13" i="22" s="1"/>
  <c r="T45" i="22"/>
  <c r="U45" i="22" s="1"/>
  <c r="V45" i="22" s="1"/>
  <c r="T22" i="22"/>
  <c r="U22" i="22" s="1"/>
  <c r="V22" i="22" s="1"/>
  <c r="T25" i="22"/>
  <c r="U25" i="22" s="1"/>
  <c r="V25" i="22" s="1"/>
  <c r="T33" i="22"/>
  <c r="U33" i="22" s="1"/>
  <c r="V33" i="22" s="1"/>
  <c r="T50" i="22"/>
  <c r="U50" i="22" s="1"/>
  <c r="V50" i="22" s="1"/>
  <c r="T12" i="22"/>
  <c r="U12" i="22" s="1"/>
  <c r="V12" i="22" s="1"/>
  <c r="W48" i="26"/>
  <c r="W25" i="26"/>
  <c r="L14" i="7"/>
  <c r="W19" i="26"/>
  <c r="X19" i="26"/>
  <c r="X51" i="26"/>
  <c r="W51" i="26"/>
  <c r="X18" i="26"/>
  <c r="W18" i="26"/>
  <c r="X43" i="26"/>
  <c r="W43" i="26"/>
  <c r="C6" i="21"/>
  <c r="G4" i="11"/>
  <c r="G6" i="11" s="1"/>
  <c r="X50" i="26"/>
  <c r="W50" i="26"/>
  <c r="W40" i="26"/>
  <c r="X40" i="26"/>
  <c r="X37" i="26"/>
  <c r="W37" i="26"/>
  <c r="W32" i="26"/>
  <c r="X32" i="26"/>
  <c r="W49" i="26"/>
  <c r="X49" i="26"/>
  <c r="W23" i="26"/>
  <c r="X23" i="26"/>
  <c r="X36" i="26"/>
  <c r="W36" i="26"/>
  <c r="X28" i="26"/>
  <c r="W28" i="26"/>
  <c r="X24" i="26"/>
  <c r="W24" i="26"/>
  <c r="X13" i="26"/>
  <c r="W13" i="26"/>
  <c r="X45" i="26"/>
  <c r="W45" i="26"/>
  <c r="X34" i="26"/>
  <c r="W34" i="26"/>
  <c r="W22" i="26"/>
  <c r="X22" i="26"/>
  <c r="X33" i="26"/>
  <c r="W33" i="26"/>
  <c r="X17" i="26"/>
  <c r="W17" i="26"/>
  <c r="X12" i="26"/>
  <c r="W12" i="26"/>
  <c r="Y11" i="26"/>
  <c r="W38" i="26"/>
  <c r="X38" i="26"/>
  <c r="K14" i="7"/>
  <c r="S9" i="7"/>
  <c r="X21" i="26"/>
  <c r="W21" i="26"/>
  <c r="X14" i="26"/>
  <c r="W14" i="26"/>
  <c r="W16" i="26"/>
  <c r="X16" i="26"/>
  <c r="W27" i="26"/>
  <c r="X27" i="26"/>
  <c r="X44" i="26"/>
  <c r="W44" i="26"/>
  <c r="X30" i="26"/>
  <c r="W30" i="26"/>
  <c r="M4" i="7"/>
  <c r="H4" i="7"/>
  <c r="W18" i="29" l="1"/>
  <c r="W39" i="22"/>
  <c r="W25" i="29"/>
  <c r="X22" i="29"/>
  <c r="X26" i="29"/>
  <c r="X29" i="29"/>
  <c r="X35" i="22"/>
  <c r="X48" i="29"/>
  <c r="X13" i="29"/>
  <c r="W13" i="29"/>
  <c r="X5" i="29"/>
  <c r="Y11" i="29" s="1"/>
  <c r="X12" i="22"/>
  <c r="W12" i="22"/>
  <c r="X5" i="22"/>
  <c r="Y11" i="22" s="1"/>
  <c r="X19" i="22"/>
  <c r="W19" i="22"/>
  <c r="X35" i="29"/>
  <c r="W35" i="29"/>
  <c r="X18" i="22"/>
  <c r="W18" i="22"/>
  <c r="X37" i="22"/>
  <c r="W37" i="22"/>
  <c r="X27" i="29"/>
  <c r="W27" i="29"/>
  <c r="W42" i="29"/>
  <c r="X42" i="29"/>
  <c r="W38" i="29"/>
  <c r="X38" i="29"/>
  <c r="X51" i="22"/>
  <c r="W51" i="22"/>
  <c r="X50" i="22"/>
  <c r="W50" i="22"/>
  <c r="X45" i="22"/>
  <c r="W45" i="22"/>
  <c r="X49" i="29"/>
  <c r="W49" i="29"/>
  <c r="X37" i="29"/>
  <c r="W37" i="29"/>
  <c r="X47" i="22"/>
  <c r="W47" i="22"/>
  <c r="X46" i="22"/>
  <c r="W46" i="22"/>
  <c r="W28" i="29"/>
  <c r="X28" i="29"/>
  <c r="X25" i="22"/>
  <c r="W25" i="22"/>
  <c r="X48" i="22"/>
  <c r="W48" i="22"/>
  <c r="X41" i="29"/>
  <c r="W41" i="29"/>
  <c r="X22" i="22"/>
  <c r="W22" i="22"/>
  <c r="X33" i="22"/>
  <c r="W33" i="22"/>
  <c r="X13" i="22"/>
  <c r="W13" i="22"/>
  <c r="X33" i="29"/>
  <c r="W33" i="29"/>
  <c r="X42" i="22"/>
  <c r="W42" i="22"/>
  <c r="W32" i="29"/>
  <c r="X32" i="29"/>
  <c r="W20" i="29"/>
  <c r="X20" i="29"/>
  <c r="W11" i="26"/>
  <c r="X3" i="26" s="1"/>
  <c r="P9" i="7"/>
  <c r="C2" i="21"/>
  <c r="F4" i="11"/>
  <c r="F6" i="11" s="1"/>
  <c r="X11" i="26"/>
  <c r="J15" i="21"/>
  <c r="N15" i="21" s="1"/>
  <c r="R15" i="21" s="1"/>
  <c r="J19" i="21"/>
  <c r="N19" i="21" s="1"/>
  <c r="R19" i="21" s="1"/>
  <c r="J23" i="21"/>
  <c r="N23" i="21" s="1"/>
  <c r="R23" i="21" s="1"/>
  <c r="J27" i="21"/>
  <c r="N27" i="21" s="1"/>
  <c r="R27" i="21" s="1"/>
  <c r="J31" i="21"/>
  <c r="N31" i="21" s="1"/>
  <c r="R31" i="21" s="1"/>
  <c r="J35" i="21"/>
  <c r="N35" i="21" s="1"/>
  <c r="R35" i="21" s="1"/>
  <c r="J39" i="21"/>
  <c r="N39" i="21" s="1"/>
  <c r="R39" i="21" s="1"/>
  <c r="J43" i="21"/>
  <c r="N43" i="21" s="1"/>
  <c r="R43" i="21" s="1"/>
  <c r="J47" i="21"/>
  <c r="N47" i="21" s="1"/>
  <c r="R47" i="21" s="1"/>
  <c r="J51" i="21"/>
  <c r="N51" i="21" s="1"/>
  <c r="J18" i="21"/>
  <c r="N18" i="21" s="1"/>
  <c r="R18" i="21" s="1"/>
  <c r="J30" i="21"/>
  <c r="N30" i="21" s="1"/>
  <c r="R30" i="21" s="1"/>
  <c r="J38" i="21"/>
  <c r="N38" i="21" s="1"/>
  <c r="R38" i="21" s="1"/>
  <c r="J50" i="21"/>
  <c r="N50" i="21" s="1"/>
  <c r="R50" i="21" s="1"/>
  <c r="J16" i="21"/>
  <c r="N16" i="21" s="1"/>
  <c r="R16" i="21" s="1"/>
  <c r="J20" i="21"/>
  <c r="N20" i="21" s="1"/>
  <c r="R20" i="21" s="1"/>
  <c r="J24" i="21"/>
  <c r="N24" i="21" s="1"/>
  <c r="R24" i="21" s="1"/>
  <c r="J28" i="21"/>
  <c r="N28" i="21" s="1"/>
  <c r="R28" i="21" s="1"/>
  <c r="J32" i="21"/>
  <c r="N32" i="21" s="1"/>
  <c r="R32" i="21" s="1"/>
  <c r="J36" i="21"/>
  <c r="N36" i="21" s="1"/>
  <c r="R36" i="21" s="1"/>
  <c r="J40" i="21"/>
  <c r="N40" i="21" s="1"/>
  <c r="R40" i="21" s="1"/>
  <c r="J44" i="21"/>
  <c r="N44" i="21" s="1"/>
  <c r="R44" i="21" s="1"/>
  <c r="J48" i="21"/>
  <c r="N48" i="21" s="1"/>
  <c r="R48" i="21" s="1"/>
  <c r="J26" i="21"/>
  <c r="N26" i="21" s="1"/>
  <c r="R26" i="21" s="1"/>
  <c r="J42" i="21"/>
  <c r="N42" i="21" s="1"/>
  <c r="R42" i="21" s="1"/>
  <c r="J13" i="21"/>
  <c r="N13" i="21" s="1"/>
  <c r="R13" i="21" s="1"/>
  <c r="J17" i="21"/>
  <c r="N17" i="21" s="1"/>
  <c r="R17" i="21" s="1"/>
  <c r="J21" i="21"/>
  <c r="N21" i="21" s="1"/>
  <c r="R21" i="21" s="1"/>
  <c r="J25" i="21"/>
  <c r="N25" i="21" s="1"/>
  <c r="R25" i="21" s="1"/>
  <c r="J29" i="21"/>
  <c r="N29" i="21" s="1"/>
  <c r="R29" i="21" s="1"/>
  <c r="J33" i="21"/>
  <c r="N33" i="21" s="1"/>
  <c r="R33" i="21" s="1"/>
  <c r="J37" i="21"/>
  <c r="N37" i="21" s="1"/>
  <c r="R37" i="21" s="1"/>
  <c r="J41" i="21"/>
  <c r="N41" i="21" s="1"/>
  <c r="R41" i="21" s="1"/>
  <c r="J45" i="21"/>
  <c r="N45" i="21" s="1"/>
  <c r="R45" i="21" s="1"/>
  <c r="J49" i="21"/>
  <c r="N49" i="21" s="1"/>
  <c r="R49" i="21" s="1"/>
  <c r="J14" i="21"/>
  <c r="N14" i="21" s="1"/>
  <c r="R14" i="21" s="1"/>
  <c r="J22" i="21"/>
  <c r="N22" i="21" s="1"/>
  <c r="R22" i="21" s="1"/>
  <c r="J34" i="21"/>
  <c r="N34" i="21" s="1"/>
  <c r="R34" i="21" s="1"/>
  <c r="J46" i="21"/>
  <c r="N46" i="21" s="1"/>
  <c r="R46" i="21" s="1"/>
  <c r="S51" i="21"/>
  <c r="S14" i="21"/>
  <c r="S44" i="21"/>
  <c r="S48" i="21"/>
  <c r="S35" i="21"/>
  <c r="S38" i="21"/>
  <c r="S37" i="21"/>
  <c r="S33" i="21"/>
  <c r="S21" i="21"/>
  <c r="S27" i="21"/>
  <c r="S13" i="21"/>
  <c r="S42" i="21"/>
  <c r="S18" i="21"/>
  <c r="S20" i="21"/>
  <c r="S16" i="21"/>
  <c r="S17" i="21"/>
  <c r="S50" i="21"/>
  <c r="S40" i="21"/>
  <c r="S47" i="21"/>
  <c r="S31" i="21"/>
  <c r="S34" i="21"/>
  <c r="S26" i="21"/>
  <c r="S30" i="21"/>
  <c r="S28" i="21"/>
  <c r="S23" i="21"/>
  <c r="S12" i="21"/>
  <c r="S36" i="21"/>
  <c r="S43" i="21"/>
  <c r="S46" i="21"/>
  <c r="S45" i="21"/>
  <c r="S29" i="21"/>
  <c r="S24" i="21"/>
  <c r="S19" i="21"/>
  <c r="S39" i="21"/>
  <c r="S49" i="21"/>
  <c r="S22" i="21"/>
  <c r="S32" i="21"/>
  <c r="S41" i="21"/>
  <c r="S25" i="21"/>
  <c r="S15" i="21"/>
  <c r="X11" i="29" l="1"/>
  <c r="W11" i="29"/>
  <c r="X3" i="29" s="1"/>
  <c r="X11" i="22"/>
  <c r="W11" i="22"/>
  <c r="T46" i="21"/>
  <c r="T49" i="21"/>
  <c r="U49" i="21" s="1"/>
  <c r="V49" i="21" s="1"/>
  <c r="T32" i="21"/>
  <c r="U32" i="21" s="1"/>
  <c r="V32" i="21" s="1"/>
  <c r="T16" i="21"/>
  <c r="T18" i="21"/>
  <c r="T39" i="21"/>
  <c r="T23" i="21"/>
  <c r="T34" i="21"/>
  <c r="T45" i="21"/>
  <c r="U45" i="21" s="1"/>
  <c r="V45" i="21" s="1"/>
  <c r="T50" i="21"/>
  <c r="U50" i="21" s="1"/>
  <c r="V50" i="21" s="1"/>
  <c r="T35" i="21"/>
  <c r="U35" i="21" s="1"/>
  <c r="V35" i="21" s="1"/>
  <c r="T19" i="21"/>
  <c r="T33" i="21"/>
  <c r="U33" i="21" s="1"/>
  <c r="V33" i="21" s="1"/>
  <c r="T17" i="21"/>
  <c r="U17" i="21" s="1"/>
  <c r="V17" i="21" s="1"/>
  <c r="T48" i="21"/>
  <c r="U48" i="21" s="1"/>
  <c r="V48" i="21" s="1"/>
  <c r="U16" i="21"/>
  <c r="V16" i="21" s="1"/>
  <c r="T29" i="21"/>
  <c r="U29" i="21" s="1"/>
  <c r="V29" i="21" s="1"/>
  <c r="T13" i="21"/>
  <c r="U13" i="21" s="1"/>
  <c r="V13" i="21" s="1"/>
  <c r="T44" i="21"/>
  <c r="U44" i="21" s="1"/>
  <c r="V44" i="21" s="1"/>
  <c r="T28" i="21"/>
  <c r="U28" i="21" s="1"/>
  <c r="V28" i="21" s="1"/>
  <c r="R51" i="21"/>
  <c r="T51" i="21" s="1"/>
  <c r="U51" i="21" s="1"/>
  <c r="V51" i="21" s="1"/>
  <c r="U39" i="21"/>
  <c r="V39" i="21" s="1"/>
  <c r="T12" i="21"/>
  <c r="U12" i="21" s="1"/>
  <c r="V12" i="21" s="1"/>
  <c r="T22" i="21"/>
  <c r="U22" i="21" s="1"/>
  <c r="V22" i="21" s="1"/>
  <c r="T41" i="21"/>
  <c r="U41" i="21" s="1"/>
  <c r="V41" i="21" s="1"/>
  <c r="T25" i="21"/>
  <c r="U25" i="21" s="1"/>
  <c r="V25" i="21" s="1"/>
  <c r="T42" i="21"/>
  <c r="U42" i="21" s="1"/>
  <c r="V42" i="21" s="1"/>
  <c r="T40" i="21"/>
  <c r="U40" i="21" s="1"/>
  <c r="V40" i="21" s="1"/>
  <c r="T24" i="21"/>
  <c r="U24" i="21" s="1"/>
  <c r="V24" i="21" s="1"/>
  <c r="T38" i="21"/>
  <c r="U38" i="21" s="1"/>
  <c r="V38" i="21" s="1"/>
  <c r="T47" i="21"/>
  <c r="U47" i="21" s="1"/>
  <c r="V47" i="21" s="1"/>
  <c r="T31" i="21"/>
  <c r="U31" i="21" s="1"/>
  <c r="V31" i="21" s="1"/>
  <c r="T15" i="21"/>
  <c r="U15" i="21" s="1"/>
  <c r="V15" i="21" s="1"/>
  <c r="U19" i="21"/>
  <c r="V19" i="21" s="1"/>
  <c r="U46" i="21"/>
  <c r="V46" i="21" s="1"/>
  <c r="U23" i="21"/>
  <c r="V23" i="21" s="1"/>
  <c r="U34" i="21"/>
  <c r="V34" i="21" s="1"/>
  <c r="U18" i="21"/>
  <c r="V18" i="21" s="1"/>
  <c r="T14" i="21"/>
  <c r="U14" i="21" s="1"/>
  <c r="V14" i="21" s="1"/>
  <c r="T37" i="21"/>
  <c r="U37" i="21" s="1"/>
  <c r="V37" i="21" s="1"/>
  <c r="T21" i="21"/>
  <c r="U21" i="21" s="1"/>
  <c r="V21" i="21" s="1"/>
  <c r="T26" i="21"/>
  <c r="U26" i="21" s="1"/>
  <c r="V26" i="21" s="1"/>
  <c r="T36" i="21"/>
  <c r="U36" i="21" s="1"/>
  <c r="V36" i="21" s="1"/>
  <c r="T20" i="21"/>
  <c r="U20" i="21" s="1"/>
  <c r="V20" i="21" s="1"/>
  <c r="T30" i="21"/>
  <c r="U30" i="21" s="1"/>
  <c r="V30" i="21" s="1"/>
  <c r="T43" i="21"/>
  <c r="U43" i="21" s="1"/>
  <c r="V43" i="21" s="1"/>
  <c r="T27" i="21"/>
  <c r="U27" i="21" s="1"/>
  <c r="V27" i="21" s="1"/>
  <c r="X3" i="22" l="1"/>
  <c r="E7" i="25" s="1"/>
  <c r="F7" i="25"/>
  <c r="X21" i="21"/>
  <c r="W21" i="21"/>
  <c r="W40" i="21"/>
  <c r="X40" i="21"/>
  <c r="W44" i="21"/>
  <c r="X44" i="21"/>
  <c r="W20" i="21"/>
  <c r="X20" i="21"/>
  <c r="W47" i="21"/>
  <c r="X47" i="21"/>
  <c r="W27" i="21"/>
  <c r="X27" i="21"/>
  <c r="W36" i="21"/>
  <c r="X36" i="21"/>
  <c r="X14" i="21"/>
  <c r="W14" i="21"/>
  <c r="W38" i="21"/>
  <c r="X38" i="21"/>
  <c r="W25" i="21"/>
  <c r="X25" i="21"/>
  <c r="W48" i="21"/>
  <c r="X48" i="21"/>
  <c r="W30" i="21"/>
  <c r="X30" i="21"/>
  <c r="W31" i="21"/>
  <c r="X31" i="21"/>
  <c r="W22" i="21"/>
  <c r="X22" i="21"/>
  <c r="X33" i="21"/>
  <c r="W33" i="21"/>
  <c r="W37" i="21"/>
  <c r="X37" i="21"/>
  <c r="W26" i="21"/>
  <c r="X26" i="21"/>
  <c r="W15" i="21"/>
  <c r="X15" i="21"/>
  <c r="W41" i="21"/>
  <c r="X41" i="21"/>
  <c r="W28" i="21"/>
  <c r="X28" i="21"/>
  <c r="W17" i="21"/>
  <c r="X17" i="21"/>
  <c r="X18" i="21"/>
  <c r="W18" i="21"/>
  <c r="W51" i="21"/>
  <c r="X51" i="21"/>
  <c r="X16" i="21"/>
  <c r="W16" i="21"/>
  <c r="X29" i="21"/>
  <c r="W29" i="21"/>
  <c r="W42" i="21"/>
  <c r="X42" i="21"/>
  <c r="W50" i="21"/>
  <c r="X50" i="21"/>
  <c r="W45" i="21"/>
  <c r="X45" i="21"/>
  <c r="X49" i="21"/>
  <c r="W49" i="21"/>
  <c r="W24" i="21"/>
  <c r="X24" i="21"/>
  <c r="W35" i="21"/>
  <c r="X35" i="21"/>
  <c r="W34" i="21"/>
  <c r="X34" i="21"/>
  <c r="X32" i="21"/>
  <c r="W32" i="21"/>
  <c r="W39" i="21"/>
  <c r="X39" i="21"/>
  <c r="X46" i="21"/>
  <c r="W46" i="21"/>
  <c r="W12" i="21"/>
  <c r="X12" i="21"/>
  <c r="X5" i="21"/>
  <c r="Y11" i="21" s="1"/>
  <c r="X13" i="21"/>
  <c r="W13" i="21"/>
  <c r="W43" i="21"/>
  <c r="X43" i="21"/>
  <c r="W19" i="21"/>
  <c r="X19" i="21"/>
  <c r="W23" i="21"/>
  <c r="X23" i="21"/>
  <c r="W11" i="21" l="1"/>
  <c r="X11" i="21"/>
  <c r="X3" i="21" l="1"/>
  <c r="E6" i="25" s="1"/>
  <c r="F6" i="25"/>
</calcChain>
</file>

<file path=xl/comments1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  <charset val="238"/>
          </rPr>
          <t>Spirkova Jana, doc. RNDr., PhD.:</t>
        </r>
        <r>
          <rPr>
            <sz val="9"/>
            <color indexed="81"/>
            <rFont val="Segoe UI"/>
            <family val="2"/>
            <charset val="238"/>
          </rPr>
          <t xml:space="preserve">
2017 "spolu" SR</t>
        </r>
      </text>
    </comment>
    <comment ref="D2" authorId="1" shapeId="0">
      <text>
        <r>
          <rPr>
            <sz val="9"/>
            <color indexed="81"/>
            <rFont val="Segoe UI"/>
            <family val="2"/>
            <charset val="238"/>
          </rPr>
          <t xml:space="preserve">31. august 2022
</t>
        </r>
      </text>
    </comment>
  </commentList>
</comments>
</file>

<file path=xl/comments2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G3" authorId="1" shapeId="0">
      <text>
        <r>
          <rPr>
            <b/>
            <sz val="9"/>
            <color indexed="81"/>
            <rFont val="Segoe UI"/>
            <family val="2"/>
            <charset val="238"/>
          </rPr>
          <t>podľa 2. vzorca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F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vložený vzorec
</t>
        </r>
      </text>
    </comment>
    <comment ref="F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3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G3" authorId="1" shapeId="0">
      <text>
        <r>
          <rPr>
            <b/>
            <sz val="9"/>
            <color indexed="81"/>
            <rFont val="Segoe UI"/>
            <family val="2"/>
            <charset val="238"/>
          </rPr>
          <t>podľa 2. vzorca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F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vložený vzorec
</t>
        </r>
      </text>
    </comment>
    <comment ref="F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4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G3" authorId="1" shapeId="0">
      <text>
        <r>
          <rPr>
            <b/>
            <sz val="9"/>
            <color indexed="81"/>
            <rFont val="Segoe UI"/>
            <family val="2"/>
            <charset val="238"/>
          </rPr>
          <t>podľa 2. vzorca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F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vložený vzorec
</t>
        </r>
      </text>
    </comment>
    <comment ref="F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5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charset val="1"/>
          </rPr>
          <t xml:space="preserve">Smithova-Wilsonova výnosová krivka, 31. 8. 2022, RFR spot with VA (volatility adjustment)
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6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charset val="1"/>
          </rPr>
          <t xml:space="preserve">Smithova-Wilsonova výnosová krivka, 31. 8. 2022, RFR spot with VA (volatility adjustment)
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7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charset val="1"/>
          </rPr>
          <t xml:space="preserve">Smithova-Wilsonova výnosová krivka, 31. 8. 2022, RFR spot with VA (volatility adjustment)
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
(PS vyplatená na konci roka úmrtia poisteného) </t>
        </r>
      </text>
    </comment>
    <comment ref="J4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4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7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8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9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10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11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12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13.xml><?xml version="1.0" encoding="utf-8"?>
<comments xmlns="http://schemas.openxmlformats.org/spreadsheetml/2006/main">
  <authors>
    <author>Spirkova Jana, doc. RNDr., PhD.</author>
    <author>Janka</author>
  </authors>
  <commentList>
    <comment ref="A3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F3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H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dočasné poistenie pre prípad úmrtia 30-ročného klienta do veku 70 rokov </t>
        </r>
      </text>
    </comment>
    <comment ref="J5" authorId="1" shapeId="0">
      <text>
        <r>
          <rPr>
            <sz val="9"/>
            <color indexed="81"/>
            <rFont val="Segoe UI"/>
            <family val="2"/>
            <charset val="238"/>
          </rPr>
          <t>ročné netto poistné
pre prípad úmrtia</t>
        </r>
      </text>
    </comment>
    <comment ref="M5" authorId="1" shapeId="0">
      <text>
        <r>
          <rPr>
            <sz val="9"/>
            <color indexed="81"/>
            <rFont val="Segoe UI"/>
            <family val="2"/>
            <charset val="238"/>
          </rPr>
          <t>mesačné poistné pre prípad úmrtia</t>
        </r>
      </text>
    </comment>
    <comment ref="G7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18" authorId="1" shapeId="0">
      <text>
        <r>
          <rPr>
            <sz val="9"/>
            <color indexed="81"/>
            <rFont val="Segoe UI"/>
            <family val="2"/>
            <charset val="238"/>
          </rPr>
          <t>hodnota prevzatá 
z mesačného výpočtu</t>
        </r>
      </text>
    </comment>
  </commentList>
</comments>
</file>

<file path=xl/comments14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X5" authorId="0" shapeId="0">
      <text>
        <r>
          <rPr>
            <sz val="9"/>
            <color indexed="81"/>
            <rFont val="Segoe UI"/>
            <charset val="1"/>
          </rPr>
          <t xml:space="preserve">Pozor, toto číslo nemusí byť správne, ak vo finančnom toku je viac kladných a viac záporných čísel
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15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2021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16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2021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17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2021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18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X5" authorId="0" shapeId="0">
      <text>
        <r>
          <rPr>
            <sz val="9"/>
            <color indexed="81"/>
            <rFont val="Segoe UI"/>
            <charset val="1"/>
          </rPr>
          <t xml:space="preserve">Pozor, toto číslo nemusí byť správne, ak vo finančnom toku je viac kladných a viac záporných čísel
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19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2019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20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2019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21.xml><?xml version="1.0" encoding="utf-8"?>
<comments xmlns="http://schemas.openxmlformats.org/spreadsheetml/2006/main">
  <authors>
    <author>Janka</author>
  </authors>
  <commentList>
    <comment ref="A4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initial costs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inflation</t>
        </r>
      </text>
    </comment>
    <comment ref="A7" authorId="0" shapeId="0">
      <text>
        <r>
          <rPr>
            <sz val="9"/>
            <color indexed="81"/>
            <rFont val="Segoe UI"/>
            <family val="2"/>
            <charset val="238"/>
          </rPr>
          <t xml:space="preserve">
asset management fee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  <charset val="238"/>
          </rPr>
          <t>2019 spoločné úmrtnostné tabuľky</t>
        </r>
      </text>
    </comment>
    <comment ref="K13" authorId="0" shapeId="0">
      <text>
        <r>
          <rPr>
            <sz val="9"/>
            <color indexed="81"/>
            <rFont val="Segoe UI"/>
            <charset val="1"/>
          </rPr>
          <t>vzorec</t>
        </r>
      </text>
    </comment>
  </commentList>
</comments>
</file>

<file path=xl/comments22.xml><?xml version="1.0" encoding="utf-8"?>
<comments xmlns="http://schemas.openxmlformats.org/spreadsheetml/2006/main">
  <authors>
    <author>Spirkova Jana, doc. RNDr., PhD.</author>
    <author>Janka</author>
  </authors>
  <commentLis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2021 unisex SR</t>
        </r>
      </text>
    </comment>
    <comment ref="E2" authorId="1" shapeId="0">
      <text>
        <r>
          <rPr>
            <sz val="9"/>
            <color indexed="81"/>
            <rFont val="Segoe UI"/>
            <family val="2"/>
            <charset val="238"/>
          </rPr>
          <t>technická úroková miera
v % p.a.</t>
        </r>
      </text>
    </comment>
    <comment ref="G3" authorId="1" shapeId="0">
      <text>
        <r>
          <rPr>
            <b/>
            <sz val="9"/>
            <color indexed="81"/>
            <rFont val="Segoe UI"/>
            <family val="2"/>
            <charset val="238"/>
          </rPr>
          <t>podľa 2. vzorca</t>
        </r>
      </text>
    </comment>
    <comment ref="H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Jednorazové netto poistné pre doživotné poistenie pre prípad úmrtia 70-ročného klienta
(PS vyplatená na konci roka úmrtia poisteného) </t>
        </r>
      </text>
    </comment>
    <comment ref="K4" authorId="1" shapeId="0">
      <text>
        <r>
          <rPr>
            <sz val="9"/>
            <color indexed="81"/>
            <rFont val="Segoe UI"/>
            <family val="2"/>
            <charset val="238"/>
          </rPr>
          <t xml:space="preserve">ročné poistné platené doživotne
</t>
        </r>
      </text>
    </comment>
    <comment ref="F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vložený vzorec
</t>
        </r>
      </text>
    </comment>
    <comment ref="K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ročné poistné platené 10 rokov
</t>
        </r>
      </text>
    </comment>
    <comment ref="F6" authorId="1" shapeId="0">
      <text>
        <r>
          <rPr>
            <sz val="9"/>
            <color indexed="81"/>
            <rFont val="Segoe UI"/>
            <family val="2"/>
            <charset val="238"/>
          </rPr>
          <t>vložený vzorec</t>
        </r>
      </text>
    </comment>
    <comment ref="K7" authorId="1" shapeId="0">
      <text>
        <r>
          <rPr>
            <sz val="9"/>
            <color indexed="81"/>
            <rFont val="Segoe UI"/>
            <family val="2"/>
            <charset val="238"/>
          </rPr>
          <t xml:space="preserve">odložené platené doživotne
</t>
        </r>
      </text>
    </comment>
    <comment ref="L15" authorId="1" shapeId="0">
      <text>
        <r>
          <rPr>
            <sz val="9"/>
            <color indexed="81"/>
            <rFont val="Segoe UI"/>
            <family val="2"/>
            <charset val="238"/>
          </rPr>
          <t xml:space="preserve">ročné poistné platené 10 rokov
</t>
        </r>
      </text>
    </comment>
    <comment ref="L26" authorId="1" shapeId="0">
      <text>
        <r>
          <rPr>
            <sz val="9"/>
            <color indexed="81"/>
            <rFont val="Segoe UI"/>
            <family val="2"/>
            <charset val="238"/>
          </rPr>
          <t>ročné netto
 s PS=5000 €</t>
        </r>
      </text>
    </comment>
  </commentList>
</comments>
</file>

<file path=xl/sharedStrings.xml><?xml version="1.0" encoding="utf-8"?>
<sst xmlns="http://schemas.openxmlformats.org/spreadsheetml/2006/main" count="723" uniqueCount="116">
  <si>
    <t>x</t>
  </si>
  <si>
    <t>β_0</t>
  </si>
  <si>
    <t>t</t>
  </si>
  <si>
    <t>PS</t>
  </si>
  <si>
    <t>All bonds</t>
  </si>
  <si>
    <t>2021 unisex</t>
  </si>
  <si>
    <t>Diskontný faktor</t>
  </si>
  <si>
    <t>Ročné poistné (brutto)</t>
  </si>
  <si>
    <t>mesačné poistné (brutto)</t>
  </si>
  <si>
    <t>na konci roka úmrtia</t>
  </si>
  <si>
    <t xml:space="preserve">poistná suma vyplatená </t>
  </si>
  <si>
    <t>na konci mesiaca úmrtia</t>
  </si>
  <si>
    <t>AAA rated</t>
  </si>
  <si>
    <t>%</t>
  </si>
  <si>
    <t>Smith-Wilson</t>
  </si>
  <si>
    <t>zmiešané poistenie ročné</t>
  </si>
  <si>
    <t>úmrtie</t>
  </si>
  <si>
    <t>dožitie</t>
  </si>
  <si>
    <t>zmiešané</t>
  </si>
  <si>
    <t xml:space="preserve">jednorazové </t>
  </si>
  <si>
    <t>ročne platené</t>
  </si>
  <si>
    <t>Ročné poistné (brutto) pre úmrtie</t>
  </si>
  <si>
    <t>Ročné poistné (brutto) pre dožitie</t>
  </si>
  <si>
    <t>zmiešané brutto</t>
  </si>
  <si>
    <t>Ročné poistné pre zmiešané poistenie (brutto)</t>
  </si>
  <si>
    <t>Tabuľky života Štatistický úrad SR, 2021 spolu, TUM 0.5 % p.a.</t>
  </si>
  <si>
    <t>Tabuľky života Štatistický úrad SR, 2021 spolu, TUM 0.5 % p.a., vstupný vek  posun o 5 rokov dopredu z 30 na 35 rokov</t>
  </si>
  <si>
    <t>Tabuľky života Štatistický úrad SR, 2021 spolu, Smith-Wilson (31. 8. 2022), vstupný vek  posun o 5 rokov dopredu z 30 na 35 rokov</t>
  </si>
  <si>
    <t>Tabuľky života Štatistický úrad SR, 2021 spolu, Svenssonova výnosová krivka all bonds (31. 8. 2022), vstupný vek  posun o 5 rokov dopredu z 30 na 35 rokov</t>
  </si>
  <si>
    <t>Tabuľky života Štatistický úrad SR, 2021 spolu, Svenssonova výnosová krivka AAA rated bonds (31. 8. 2022), vstupný vek  posun o 5 rokov dopredu z 30 na 35 rokov</t>
  </si>
  <si>
    <r>
      <t xml:space="preserve">Tabuľky života Štatistický úrad SR, 2021 spolu, TUM 0.5 % p.a., vstupný vek  posun o 5 rokov dopredu z 30 na 35 rokov </t>
    </r>
    <r>
      <rPr>
        <sz val="11"/>
        <color rgb="FFFF0000"/>
        <rFont val="Calibri"/>
        <family val="2"/>
        <charset val="238"/>
        <scheme val="minor"/>
      </rPr>
      <t>a náklady</t>
    </r>
  </si>
  <si>
    <t>bez posunutia</t>
  </si>
  <si>
    <t>Tabuľky života Štatistický úrad SR, 2021 spolu, TUM 0.5 % p.a., vstupný vek  posun o 5 rokov dozadu z 30 na 25 rokov</t>
  </si>
  <si>
    <t>Tabuľky života Štatistický úrad SR, 2021 spolu, Smith-Wilson (31. 8. 2022), vstupný vek  posun o 5 rokov dopredu z 30 na 25 rokov</t>
  </si>
  <si>
    <t>Tabuľky života Štatistický úrad SR, 2021 spolu, Svenssonova výnosová krivka all bonds (31. 8. 2022), vstupný vek  posun o 5 rokov dopredu z 30 na 25 rokov</t>
  </si>
  <si>
    <t>Tabuľky života Štatistický úrad SR, 2021 spolu, Svenssonova výnosová krivka AAA rated bonds (31. 8. 2022), vstupný vek  posun o 5 rokov dopredu z 30 na 25 rokov</t>
  </si>
  <si>
    <r>
      <t xml:space="preserve">Tabuľky života Štatistický úrad SR, 2021 spolu, TUM 0.5 % p.a., vstupný vek  posun o 5 rokov dopredu z 30 na 25 rokov </t>
    </r>
    <r>
      <rPr>
        <sz val="11"/>
        <color rgb="FFFF0000"/>
        <rFont val="Calibri"/>
        <family val="2"/>
        <charset val="238"/>
        <scheme val="minor"/>
      </rPr>
      <t>a náklady</t>
    </r>
  </si>
  <si>
    <t>Profit margin</t>
  </si>
  <si>
    <t>IC</t>
  </si>
  <si>
    <t>p.a.</t>
  </si>
  <si>
    <t>cash out</t>
  </si>
  <si>
    <t>cash in</t>
  </si>
  <si>
    <t>AMF</t>
  </si>
  <si>
    <t>forward rate</t>
  </si>
  <si>
    <t>budúce príjmy</t>
  </si>
  <si>
    <t>pomocný výpočet</t>
  </si>
  <si>
    <t>budúce výdavky</t>
  </si>
  <si>
    <t>pravdepodobnosť plnenia</t>
  </si>
  <si>
    <t xml:space="preserve">cash flow </t>
  </si>
  <si>
    <t>cach flow</t>
  </si>
  <si>
    <r>
      <t>RE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</si>
  <si>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RE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</si>
  <si>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t xml:space="preserve"> vector</t>
  </si>
  <si>
    <t>signature</t>
  </si>
  <si>
    <t>NPV</t>
  </si>
  <si>
    <r>
      <rPr>
        <i/>
        <sz val="12"/>
        <color theme="1"/>
        <rFont val="Calibri"/>
        <family val="2"/>
        <charset val="238"/>
        <scheme val="minor"/>
      </rPr>
      <t>I</t>
    </r>
    <r>
      <rPr>
        <i/>
        <vertAlign val="subscript"/>
        <sz val="12"/>
        <color theme="1"/>
        <rFont val="Calibri"/>
        <family val="2"/>
        <charset val="238"/>
        <scheme val="minor"/>
      </rPr>
      <t>t</t>
    </r>
  </si>
  <si>
    <r>
      <t>CFV</t>
    </r>
    <r>
      <rPr>
        <i/>
        <vertAlign val="subscript"/>
        <sz val="12"/>
        <color theme="1"/>
        <rFont val="Calibri"/>
        <family val="2"/>
        <charset val="238"/>
        <scheme val="minor"/>
      </rPr>
      <t>t</t>
    </r>
  </si>
  <si>
    <r>
      <t>CFS</t>
    </r>
    <r>
      <rPr>
        <i/>
        <vertAlign val="subscript"/>
        <sz val="12"/>
        <color theme="1"/>
        <rFont val="Calibri"/>
        <family val="2"/>
        <charset val="238"/>
        <scheme val="minor"/>
      </rPr>
      <t>t</t>
    </r>
  </si>
  <si>
    <t>Poistenie Život</t>
  </si>
  <si>
    <t>dočasné poistenie pre prípad úmrtia</t>
  </si>
  <si>
    <t>IC (počiatočné náklady</t>
  </si>
  <si>
    <t>Inf (inflácia)</t>
  </si>
  <si>
    <t>Jednorazové poistné</t>
  </si>
  <si>
    <t>Poistná suma PS</t>
  </si>
  <si>
    <t>odúročiteľ</t>
  </si>
  <si>
    <t>technická úroková miera % p.a.</t>
  </si>
  <si>
    <t>P(t)</t>
  </si>
  <si>
    <r>
      <rPr>
        <i/>
        <vertAlign val="subscript"/>
        <sz val="11"/>
        <color theme="1"/>
        <rFont val="Calibri"/>
        <family val="2"/>
        <charset val="238"/>
        <scheme val="minor"/>
      </rPr>
      <t>t</t>
    </r>
    <r>
      <rPr>
        <i/>
        <sz val="11"/>
        <color theme="1"/>
        <rFont val="Calibri"/>
        <family val="2"/>
        <charset val="238"/>
        <scheme val="minor"/>
      </rP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30</t>
    </r>
  </si>
  <si>
    <t>vstupný vek</t>
  </si>
  <si>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>=30 rokov</t>
    </r>
  </si>
  <si>
    <r>
      <rPr>
        <i/>
        <vertAlign val="subscript"/>
        <sz val="11"/>
        <color theme="1"/>
        <rFont val="Calibri"/>
        <family val="2"/>
        <charset val="238"/>
        <scheme val="minor"/>
      </rPr>
      <t>t</t>
    </r>
    <r>
      <rPr>
        <i/>
        <sz val="11"/>
        <color theme="1"/>
        <rFont val="Calibri"/>
        <family val="2"/>
        <charset val="238"/>
        <scheme val="minor"/>
      </rP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30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i/>
        <vertAlign val="superscript"/>
        <sz val="11"/>
        <color theme="1"/>
        <rFont val="Calibri"/>
        <family val="2"/>
        <charset val="238"/>
        <scheme val="minor"/>
      </rPr>
      <t xml:space="preserve">. </t>
    </r>
    <r>
      <rPr>
        <i/>
        <sz val="11"/>
        <color theme="1"/>
        <rFont val="Calibri"/>
        <family val="2"/>
        <charset val="238"/>
        <scheme val="minor"/>
      </rPr>
      <t>P(t)</t>
    </r>
  </si>
  <si>
    <t xml:space="preserve"> v roku  (t-1)</t>
  </si>
  <si>
    <t xml:space="preserve">  v čase (t-1)</t>
  </si>
  <si>
    <t>úrok</t>
  </si>
  <si>
    <t>(interest)</t>
  </si>
  <si>
    <t xml:space="preserve"> v t-tom roku poistenia</t>
  </si>
  <si>
    <t xml:space="preserve">rezerva v t-tom roku </t>
  </si>
  <si>
    <r>
      <t>RE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i/>
        <sz val="11"/>
        <color theme="1"/>
        <rFont val="Calibri"/>
        <family val="2"/>
        <charset val="238"/>
        <scheme val="minor"/>
      </rPr>
      <t>=RE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 xml:space="preserve">abs      </t>
    </r>
    <r>
      <rPr>
        <b/>
        <i/>
        <sz val="11"/>
        <color theme="1"/>
        <rFont val="Calibri"/>
        <family val="2"/>
        <charset val="238"/>
        <scheme val="minor"/>
      </rPr>
      <t>počiatočné</t>
    </r>
  </si>
  <si>
    <t>TUM</t>
  </si>
  <si>
    <r>
      <rPr>
        <i/>
        <vertAlign val="subscript"/>
        <sz val="11"/>
        <color theme="1"/>
        <rFont val="Calibri"/>
        <family val="2"/>
        <charset val="238"/>
        <scheme val="minor"/>
      </rPr>
      <t>t-1</t>
    </r>
    <r>
      <rPr>
        <i/>
        <sz val="11"/>
        <color theme="1"/>
        <rFont val="Calibri"/>
        <family val="2"/>
        <charset val="238"/>
        <scheme val="minor"/>
      </rPr>
      <t>V</t>
    </r>
    <r>
      <rPr>
        <i/>
        <vertAlign val="subscript"/>
        <sz val="11"/>
        <color theme="1"/>
        <rFont val="Calibri"/>
        <family val="2"/>
        <charset val="238"/>
        <scheme val="minor"/>
      </rPr>
      <t>30</t>
    </r>
  </si>
  <si>
    <r>
      <t>BV</t>
    </r>
    <r>
      <rPr>
        <i/>
        <vertAlign val="subscript"/>
        <sz val="11"/>
        <color theme="1"/>
        <rFont val="Calibri"/>
        <family val="2"/>
        <charset val="238"/>
        <scheme val="minor"/>
      </rPr>
      <t>t-1</t>
    </r>
  </si>
  <si>
    <t>v (t-1). roku poistenia</t>
  </si>
  <si>
    <r>
      <rPr>
        <i/>
        <vertAlign val="subscript"/>
        <sz val="11"/>
        <color theme="1"/>
        <rFont val="Calibri"/>
        <family val="2"/>
        <charset val="238"/>
        <scheme val="minor"/>
      </rPr>
      <t>t-1</t>
    </r>
    <r>
      <rPr>
        <i/>
        <sz val="11"/>
        <color theme="1"/>
        <rFont val="Calibri"/>
        <family val="2"/>
        <charset val="238"/>
        <scheme val="minor"/>
      </rPr>
      <t>BP</t>
    </r>
    <r>
      <rPr>
        <i/>
        <vertAlign val="subscript"/>
        <sz val="11"/>
        <color theme="1"/>
        <rFont val="Calibri"/>
        <family val="2"/>
        <charset val="238"/>
        <scheme val="minor"/>
      </rPr>
      <t>30</t>
    </r>
  </si>
  <si>
    <t>IRR</t>
  </si>
  <si>
    <t>kontrola</t>
  </si>
  <si>
    <t>po</t>
  </si>
  <si>
    <t>Svensson All bonds</t>
  </si>
  <si>
    <t>Svensson AAA rated</t>
  </si>
  <si>
    <t>PM</t>
  </si>
  <si>
    <t>5a</t>
  </si>
  <si>
    <t>5b</t>
  </si>
  <si>
    <t>5c</t>
  </si>
  <si>
    <t>dočasné poistenie pre prípad dožitia</t>
  </si>
  <si>
    <t xml:space="preserve">ročné poistné </t>
  </si>
  <si>
    <t>Ročné poistné (brutto) pre úmrtie(neodložené)</t>
  </si>
  <si>
    <r>
      <rPr>
        <i/>
        <sz val="10"/>
        <color rgb="FF191919"/>
        <rFont val="Verdana"/>
        <family val="2"/>
        <charset val="238"/>
      </rPr>
      <t>A</t>
    </r>
    <r>
      <rPr>
        <i/>
        <vertAlign val="subscript"/>
        <sz val="10"/>
        <color rgb="FF191919"/>
        <rFont val="Verdana"/>
        <family val="2"/>
        <charset val="238"/>
      </rPr>
      <t>7</t>
    </r>
    <r>
      <rPr>
        <vertAlign val="subscript"/>
        <sz val="10"/>
        <color rgb="FF191919"/>
        <rFont val="Verdana"/>
        <family val="2"/>
        <charset val="238"/>
      </rPr>
      <t>0</t>
    </r>
  </si>
  <si>
    <r>
      <rPr>
        <vertAlign val="subscript"/>
        <sz val="10"/>
        <color rgb="FF191919"/>
        <rFont val="Verdana"/>
        <family val="2"/>
        <charset val="238"/>
      </rPr>
      <t>2|</t>
    </r>
    <r>
      <rPr>
        <i/>
        <sz val="10"/>
        <color rgb="FF191919"/>
        <rFont val="Verdana"/>
        <family val="2"/>
        <charset val="238"/>
      </rPr>
      <t>A</t>
    </r>
    <r>
      <rPr>
        <i/>
        <vertAlign val="subscript"/>
        <sz val="10"/>
        <color rgb="FF191919"/>
        <rFont val="Verdana"/>
        <family val="2"/>
        <charset val="238"/>
      </rPr>
      <t>7</t>
    </r>
    <r>
      <rPr>
        <vertAlign val="subscript"/>
        <sz val="10"/>
        <color rgb="FF191919"/>
        <rFont val="Verdana"/>
        <family val="2"/>
        <charset val="238"/>
      </rPr>
      <t>0</t>
    </r>
  </si>
  <si>
    <r>
      <t>5 000*</t>
    </r>
    <r>
      <rPr>
        <vertAlign val="subscript"/>
        <sz val="10"/>
        <color rgb="FF191919"/>
        <rFont val="Verdana"/>
        <family val="2"/>
        <charset val="238"/>
      </rPr>
      <t>2|</t>
    </r>
    <r>
      <rPr>
        <i/>
        <sz val="10"/>
        <color rgb="FF191919"/>
        <rFont val="Verdana"/>
        <family val="2"/>
        <charset val="238"/>
      </rPr>
      <t>A</t>
    </r>
    <r>
      <rPr>
        <vertAlign val="subscript"/>
        <sz val="10"/>
        <color rgb="FF191919"/>
        <rFont val="Verdana"/>
        <family val="2"/>
        <charset val="238"/>
      </rPr>
      <t>70</t>
    </r>
  </si>
  <si>
    <t>Ročné poistné (brutto) pre úmrtie(neodložené ) platené 10 rokov</t>
  </si>
  <si>
    <t>Ročné poistné (netto) pre úmrtie(neodložené)</t>
  </si>
  <si>
    <t>Ročné poistné (brutto) pre úmrtie(odložené o dva roky) platené doživotne</t>
  </si>
  <si>
    <t>Ročné poistné (brutto) pre úmrtie(odložené o dva roky) platené 10 rokov</t>
  </si>
  <si>
    <t>platené doživotne</t>
  </si>
  <si>
    <t>Ročné poistné (netto) pre úmrtie platené 10 rokov</t>
  </si>
  <si>
    <r>
      <t>5000*</t>
    </r>
    <r>
      <rPr>
        <i/>
        <sz val="10"/>
        <color rgb="FF191919"/>
        <rFont val="Verdana"/>
        <family val="2"/>
        <charset val="238"/>
      </rPr>
      <t>A</t>
    </r>
    <r>
      <rPr>
        <i/>
        <vertAlign val="subscript"/>
        <sz val="10"/>
        <color rgb="FF191919"/>
        <rFont val="Verdana"/>
        <family val="2"/>
        <charset val="238"/>
      </rPr>
      <t>70</t>
    </r>
  </si>
  <si>
    <r>
      <rPr>
        <i/>
        <vertAlign val="subscript"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>E</t>
    </r>
    <r>
      <rPr>
        <i/>
        <vertAlign val="subscript"/>
        <sz val="11"/>
        <color theme="1"/>
        <rFont val="Calibri"/>
        <family val="2"/>
        <charset val="238"/>
        <scheme val="minor"/>
      </rPr>
      <t>x</t>
    </r>
  </si>
  <si>
    <t>odložené o 2 roky /netto poistné)</t>
  </si>
  <si>
    <t>neodložené (netto poistné)</t>
  </si>
  <si>
    <t>S výhradou vrátenia poistného</t>
  </si>
  <si>
    <t>počas prvých dvoch rokov poistenia</t>
  </si>
  <si>
    <t>ročné poistné odložené o 2 roky s výhradou vrátenia</t>
  </si>
  <si>
    <t>poistného v prípade úmrtia počas prvých 2 rokov</t>
  </si>
  <si>
    <t>ročné brutto platené 10 rokov</t>
  </si>
  <si>
    <r>
      <rPr>
        <b/>
        <sz val="8"/>
        <color theme="9" tint="-0.249977111117893"/>
        <rFont val="Calibri"/>
        <family val="2"/>
        <charset val="238"/>
        <scheme val="minor"/>
      </rPr>
      <t xml:space="preserve">ročné netto </t>
    </r>
    <r>
      <rPr>
        <sz val="8"/>
        <color theme="9" tint="-0.249977111117893"/>
        <rFont val="Calibri"/>
        <family val="2"/>
        <charset val="238"/>
        <scheme val="minor"/>
      </rPr>
      <t xml:space="preserve">PS = 1 p.j. </t>
    </r>
  </si>
  <si>
    <t>IC (počiatočné náklady)</t>
  </si>
  <si>
    <t>ročné poistné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</si>
</sst>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000"/>
    <numFmt numFmtId="165" formatCode="0.00000000"/>
    <numFmt numFmtId="166" formatCode="#,##0.00\ &quot;€&quot;"/>
    <numFmt numFmtId="167" formatCode="0.0000000000"/>
    <numFmt numFmtId="168" formatCode="0.0000"/>
    <numFmt numFmtId="169" formatCode="0.000"/>
    <numFmt numFmtId="170" formatCode="0.00000%"/>
    <numFmt numFmtId="171" formatCode="0.0000%"/>
    <numFmt numFmtId="172" formatCode="0.000000000"/>
    <numFmt numFmtId="173" formatCode="0.000%"/>
    <numFmt numFmtId="174" formatCode="0.0000000"/>
    <numFmt numFmtId="175" formatCode="0.00000"/>
    <numFmt numFmtId="176" formatCode="0.00000000000000"/>
  </numFmts>
  <fonts count="42" x14ac:knownFonts="1">
    <font>
      <sz val="11"/>
      <color theme="1"/>
      <name val="Calibri"/>
      <family val="2"/>
      <charset val="238"/>
      <scheme val="minor"/>
    </font>
    <font>
      <sz val="8"/>
      <color rgb="FF000000"/>
      <name val="Arial CE"/>
      <charset val="238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11"/>
      <color theme="1"/>
      <name val="Cambria Math"/>
      <family val="1"/>
      <charset val="238"/>
    </font>
    <font>
      <sz val="10"/>
      <color rgb="FF191919"/>
      <name val="Verdana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B0F0"/>
      <name val="Calibri"/>
      <family val="2"/>
      <charset val="238"/>
      <scheme val="minor"/>
    </font>
    <font>
      <sz val="12"/>
      <color rgb="FF555555"/>
      <name val="Open Sans"/>
      <family val="2"/>
      <charset val="238"/>
    </font>
    <font>
      <b/>
      <sz val="11"/>
      <color rgb="FF00B05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9"/>
      <color indexed="81"/>
      <name val="Segoe UI"/>
      <charset val="1"/>
    </font>
    <font>
      <sz val="9"/>
      <color theme="1"/>
      <name val="Calibri"/>
      <family val="2"/>
      <charset val="238"/>
      <scheme val="minor"/>
    </font>
    <font>
      <sz val="7"/>
      <color rgb="FF000000"/>
      <name val="Arial CE"/>
      <charset val="238"/>
    </font>
    <font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555555"/>
      <name val="Verdana"/>
      <family val="2"/>
      <charset val="238"/>
    </font>
    <font>
      <sz val="11"/>
      <color rgb="FF555555"/>
      <name val="Verdana"/>
      <family val="2"/>
      <charset val="238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i/>
      <vertAlign val="subscript"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vertAlign val="subscript"/>
      <sz val="11"/>
      <color theme="1"/>
      <name val="Calibri"/>
      <family val="2"/>
      <charset val="238"/>
      <scheme val="minor"/>
    </font>
    <font>
      <i/>
      <vertAlign val="superscript"/>
      <sz val="11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vertAlign val="subscript"/>
      <sz val="10"/>
      <color rgb="FF191919"/>
      <name val="Verdana"/>
      <family val="2"/>
      <charset val="238"/>
    </font>
    <font>
      <i/>
      <sz val="10"/>
      <color rgb="FF191919"/>
      <name val="Verdana"/>
      <family val="2"/>
      <charset val="238"/>
    </font>
    <font>
      <b/>
      <sz val="8"/>
      <color rgb="FF00B050"/>
      <name val="Calibri"/>
      <family val="2"/>
      <charset val="238"/>
      <scheme val="minor"/>
    </font>
    <font>
      <i/>
      <vertAlign val="subscript"/>
      <sz val="10"/>
      <color rgb="FF191919"/>
      <name val="Verdana"/>
      <family val="2"/>
      <charset val="238"/>
    </font>
    <font>
      <b/>
      <sz val="8"/>
      <color theme="5" tint="-0.249977111117893"/>
      <name val="Calibri"/>
      <family val="2"/>
      <charset val="238"/>
      <scheme val="minor"/>
    </font>
    <font>
      <b/>
      <sz val="8"/>
      <color rgb="FF002060"/>
      <name val="Calibri"/>
      <family val="2"/>
      <charset val="238"/>
      <scheme val="minor"/>
    </font>
    <font>
      <sz val="8"/>
      <color theme="9" tint="-0.249977111117893"/>
      <name val="Calibri"/>
      <family val="2"/>
      <charset val="238"/>
      <scheme val="minor"/>
    </font>
    <font>
      <b/>
      <sz val="8"/>
      <color theme="9" tint="-0.249977111117893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377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Border="0" applyProtection="0"/>
  </cellStyleXfs>
  <cellXfs count="248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Fill="1"/>
    <xf numFmtId="164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/>
    <xf numFmtId="166" fontId="0" fillId="0" borderId="0" xfId="0" applyNumberFormat="1" applyFill="1" applyBorder="1"/>
    <xf numFmtId="166" fontId="0" fillId="0" borderId="0" xfId="0" applyNumberFormat="1" applyFont="1" applyFill="1" applyBorder="1"/>
    <xf numFmtId="0" fontId="8" fillId="2" borderId="0" xfId="0" applyFont="1" applyFill="1" applyAlignment="1">
      <alignment horizontal="center"/>
    </xf>
    <xf numFmtId="166" fontId="7" fillId="2" borderId="0" xfId="1" applyNumberFormat="1" applyFont="1" applyFill="1" applyBorder="1" applyAlignment="1">
      <alignment horizontal="center"/>
    </xf>
    <xf numFmtId="0" fontId="0" fillId="4" borderId="0" xfId="0" applyFill="1" applyBorder="1"/>
    <xf numFmtId="0" fontId="0" fillId="3" borderId="0" xfId="0" applyFill="1" applyBorder="1"/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1" fillId="0" borderId="0" xfId="2" applyNumberFormat="1" applyFont="1" applyFill="1" applyAlignment="1" applyProtection="1"/>
    <xf numFmtId="0" fontId="11" fillId="0" borderId="0" xfId="0" applyFont="1"/>
    <xf numFmtId="0" fontId="12" fillId="0" borderId="0" xfId="0" applyFont="1"/>
    <xf numFmtId="164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0" fontId="5" fillId="0" borderId="1" xfId="0" applyFont="1" applyFill="1" applyBorder="1" applyAlignment="1">
      <alignment horizontal="left" vertical="center" indent="1"/>
    </xf>
    <xf numFmtId="44" fontId="0" fillId="0" borderId="0" xfId="0" applyNumberFormat="1" applyFill="1" applyBorder="1"/>
    <xf numFmtId="165" fontId="0" fillId="0" borderId="0" xfId="0" applyNumberFormat="1" applyFill="1" applyBorder="1"/>
    <xf numFmtId="167" fontId="0" fillId="0" borderId="0" xfId="0" applyNumberFormat="1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5" fillId="0" borderId="2" xfId="0" applyFont="1" applyFill="1" applyBorder="1" applyAlignment="1">
      <alignment horizontal="left" vertical="center" indent="1"/>
    </xf>
    <xf numFmtId="164" fontId="15" fillId="0" borderId="0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0" fillId="5" borderId="0" xfId="0" applyFill="1" applyBorder="1"/>
    <xf numFmtId="16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8" fontId="12" fillId="0" borderId="0" xfId="0" applyNumberFormat="1" applyFont="1"/>
    <xf numFmtId="0" fontId="0" fillId="0" borderId="0" xfId="0" applyFill="1" applyBorder="1" applyAlignment="1">
      <alignment horizontal="right"/>
    </xf>
    <xf numFmtId="167" fontId="0" fillId="0" borderId="0" xfId="0" applyNumberFormat="1" applyFont="1" applyFill="1" applyBorder="1"/>
    <xf numFmtId="167" fontId="8" fillId="0" borderId="0" xfId="0" applyNumberFormat="1" applyFont="1" applyFill="1" applyBorder="1"/>
    <xf numFmtId="169" fontId="0" fillId="0" borderId="0" xfId="0" applyNumberFormat="1"/>
    <xf numFmtId="0" fontId="17" fillId="0" borderId="0" xfId="0" applyFont="1"/>
    <xf numFmtId="165" fontId="1" fillId="0" borderId="0" xfId="0" applyNumberFormat="1" applyFont="1" applyFill="1"/>
    <xf numFmtId="165" fontId="0" fillId="4" borderId="0" xfId="0" applyNumberFormat="1" applyFill="1" applyBorder="1"/>
    <xf numFmtId="165" fontId="0" fillId="3" borderId="0" xfId="0" applyNumberFormat="1" applyFill="1" applyBorder="1"/>
    <xf numFmtId="165" fontId="14" fillId="0" borderId="0" xfId="0" applyNumberFormat="1" applyFont="1" applyFill="1" applyBorder="1"/>
    <xf numFmtId="165" fontId="0" fillId="0" borderId="0" xfId="0" applyNumberFormat="1" applyFont="1" applyFill="1" applyBorder="1"/>
    <xf numFmtId="165" fontId="7" fillId="6" borderId="0" xfId="0" applyNumberFormat="1" applyFont="1" applyFill="1" applyBorder="1"/>
    <xf numFmtId="0" fontId="0" fillId="0" borderId="0" xfId="0" applyFont="1" applyFill="1" applyBorder="1"/>
    <xf numFmtId="0" fontId="7" fillId="6" borderId="0" xfId="0" applyFont="1" applyFill="1" applyBorder="1"/>
    <xf numFmtId="2" fontId="7" fillId="2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7" xfId="0" applyNumberFormat="1" applyBorder="1"/>
    <xf numFmtId="44" fontId="0" fillId="0" borderId="10" xfId="0" applyNumberFormat="1" applyBorder="1"/>
    <xf numFmtId="166" fontId="0" fillId="0" borderId="10" xfId="0" applyNumberFormat="1" applyBorder="1"/>
    <xf numFmtId="0" fontId="7" fillId="0" borderId="0" xfId="0" applyFont="1" applyAlignment="1">
      <alignment horizontal="center"/>
    </xf>
    <xf numFmtId="167" fontId="18" fillId="0" borderId="0" xfId="2" applyNumberFormat="1" applyFont="1" applyFill="1" applyAlignment="1" applyProtection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44" fontId="0" fillId="0" borderId="9" xfId="0" applyNumberFormat="1" applyBorder="1"/>
    <xf numFmtId="0" fontId="0" fillId="0" borderId="0" xfId="0" applyFill="1" applyBorder="1" applyAlignment="1">
      <alignment horizontal="center"/>
    </xf>
    <xf numFmtId="166" fontId="0" fillId="6" borderId="0" xfId="0" applyNumberFormat="1" applyFill="1" applyBorder="1"/>
    <xf numFmtId="44" fontId="0" fillId="6" borderId="7" xfId="0" applyNumberFormat="1" applyFill="1" applyBorder="1"/>
    <xf numFmtId="166" fontId="0" fillId="6" borderId="7" xfId="0" applyNumberFormat="1" applyFill="1" applyBorder="1"/>
    <xf numFmtId="44" fontId="0" fillId="6" borderId="0" xfId="0" applyNumberFormat="1" applyFill="1" applyBorder="1"/>
    <xf numFmtId="0" fontId="0" fillId="0" borderId="0" xfId="0" applyFill="1" applyBorder="1" applyAlignment="1">
      <alignment horizontal="center"/>
    </xf>
    <xf numFmtId="166" fontId="0" fillId="7" borderId="0" xfId="0" applyNumberFormat="1" applyFill="1" applyBorder="1"/>
    <xf numFmtId="166" fontId="0" fillId="7" borderId="7" xfId="0" applyNumberFormat="1" applyFill="1" applyBorder="1"/>
    <xf numFmtId="44" fontId="0" fillId="7" borderId="0" xfId="0" applyNumberFormat="1" applyFill="1" applyBorder="1"/>
    <xf numFmtId="44" fontId="0" fillId="0" borderId="7" xfId="0" applyNumberFormat="1" applyFill="1" applyBorder="1"/>
    <xf numFmtId="166" fontId="0" fillId="0" borderId="7" xfId="0" applyNumberFormat="1" applyFill="1" applyBorder="1"/>
    <xf numFmtId="44" fontId="0" fillId="0" borderId="9" xfId="0" applyNumberFormat="1" applyFill="1" applyBorder="1"/>
    <xf numFmtId="44" fontId="0" fillId="0" borderId="10" xfId="0" applyNumberFormat="1" applyFill="1" applyBorder="1"/>
    <xf numFmtId="166" fontId="0" fillId="2" borderId="7" xfId="0" applyNumberFormat="1" applyFill="1" applyBorder="1"/>
    <xf numFmtId="166" fontId="0" fillId="8" borderId="0" xfId="0" applyNumberFormat="1" applyFill="1" applyBorder="1"/>
    <xf numFmtId="44" fontId="0" fillId="8" borderId="0" xfId="0" applyNumberFormat="1" applyFill="1" applyBorder="1"/>
    <xf numFmtId="0" fontId="20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20" fillId="0" borderId="0" xfId="0" applyFont="1" applyFill="1" applyBorder="1"/>
    <xf numFmtId="0" fontId="7" fillId="0" borderId="0" xfId="0" applyFont="1" applyFill="1" applyBorder="1" applyAlignment="1">
      <alignment horizontal="center"/>
    </xf>
    <xf numFmtId="168" fontId="7" fillId="0" borderId="0" xfId="0" applyNumberFormat="1" applyFont="1" applyFill="1" applyBorder="1" applyAlignment="1">
      <alignment horizontal="center"/>
    </xf>
    <xf numFmtId="169" fontId="0" fillId="0" borderId="0" xfId="1" applyNumberFormat="1" applyFont="1" applyFill="1" applyBorder="1"/>
    <xf numFmtId="0" fontId="7" fillId="0" borderId="0" xfId="0" applyFont="1"/>
    <xf numFmtId="0" fontId="21" fillId="0" borderId="0" xfId="0" applyFont="1" applyAlignment="1">
      <alignment horizontal="center"/>
    </xf>
    <xf numFmtId="166" fontId="22" fillId="0" borderId="0" xfId="0" applyNumberFormat="1" applyFont="1" applyAlignment="1">
      <alignment horizontal="center"/>
    </xf>
    <xf numFmtId="0" fontId="23" fillId="0" borderId="0" xfId="0" applyFont="1"/>
    <xf numFmtId="10" fontId="25" fillId="0" borderId="0" xfId="1" applyNumberFormat="1" applyFont="1" applyFill="1" applyBorder="1" applyAlignment="1">
      <alignment horizontal="center"/>
    </xf>
    <xf numFmtId="0" fontId="21" fillId="9" borderId="11" xfId="0" applyFont="1" applyFill="1" applyBorder="1" applyAlignment="1">
      <alignment horizontal="center"/>
    </xf>
    <xf numFmtId="166" fontId="22" fillId="9" borderId="11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171" fontId="25" fillId="0" borderId="0" xfId="1" applyNumberFormat="1" applyFont="1" applyFill="1" applyBorder="1" applyAlignment="1">
      <alignment horizontal="center"/>
    </xf>
    <xf numFmtId="0" fontId="0" fillId="0" borderId="0" xfId="0" applyFill="1"/>
    <xf numFmtId="169" fontId="0" fillId="0" borderId="0" xfId="1" applyNumberFormat="1" applyFont="1"/>
    <xf numFmtId="0" fontId="26" fillId="10" borderId="2" xfId="0" applyFont="1" applyFill="1" applyBorder="1" applyAlignment="1">
      <alignment horizontal="center"/>
    </xf>
    <xf numFmtId="10" fontId="22" fillId="10" borderId="2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9" fontId="0" fillId="0" borderId="0" xfId="1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166" fontId="22" fillId="11" borderId="13" xfId="0" applyNumberFormat="1" applyFont="1" applyFill="1" applyBorder="1" applyAlignment="1">
      <alignment horizontal="center"/>
    </xf>
    <xf numFmtId="172" fontId="0" fillId="0" borderId="0" xfId="0" applyNumberFormat="1" applyFont="1" applyFill="1" applyBorder="1"/>
    <xf numFmtId="0" fontId="7" fillId="12" borderId="0" xfId="0" applyFont="1" applyFill="1" applyBorder="1" applyAlignment="1">
      <alignment horizontal="center"/>
    </xf>
    <xf numFmtId="0" fontId="26" fillId="4" borderId="13" xfId="0" applyFont="1" applyFill="1" applyBorder="1" applyAlignment="1">
      <alignment horizontal="center"/>
    </xf>
    <xf numFmtId="173" fontId="22" fillId="4" borderId="13" xfId="1" applyNumberFormat="1" applyFont="1" applyFill="1" applyBorder="1" applyAlignment="1">
      <alignment horizontal="center"/>
    </xf>
    <xf numFmtId="0" fontId="26" fillId="14" borderId="14" xfId="0" applyFont="1" applyFill="1" applyBorder="1" applyAlignment="1">
      <alignment horizontal="center"/>
    </xf>
    <xf numFmtId="166" fontId="22" fillId="14" borderId="14" xfId="1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center"/>
    </xf>
    <xf numFmtId="0" fontId="0" fillId="15" borderId="0" xfId="0" applyFill="1"/>
    <xf numFmtId="0" fontId="26" fillId="15" borderId="0" xfId="0" applyFont="1" applyFill="1" applyAlignment="1">
      <alignment horizontal="center"/>
    </xf>
    <xf numFmtId="0" fontId="21" fillId="15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26" fillId="7" borderId="0" xfId="0" applyFont="1" applyFill="1" applyAlignment="1">
      <alignment horizontal="center"/>
    </xf>
    <xf numFmtId="0" fontId="21" fillId="15" borderId="2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28" fillId="15" borderId="0" xfId="0" applyFont="1" applyFill="1" applyAlignment="1">
      <alignment horizontal="center"/>
    </xf>
    <xf numFmtId="2" fontId="0" fillId="15" borderId="0" xfId="0" applyNumberFormat="1" applyFont="1" applyFill="1" applyAlignment="1">
      <alignment horizontal="center"/>
    </xf>
    <xf numFmtId="174" fontId="7" fillId="0" borderId="0" xfId="0" applyNumberFormat="1" applyFont="1" applyAlignment="1">
      <alignment horizontal="center"/>
    </xf>
    <xf numFmtId="171" fontId="7" fillId="0" borderId="0" xfId="0" applyNumberFormat="1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10" fontId="25" fillId="0" borderId="0" xfId="0" applyNumberFormat="1" applyFont="1" applyAlignment="1">
      <alignment horizontal="center"/>
    </xf>
    <xf numFmtId="0" fontId="0" fillId="0" borderId="0" xfId="0" applyFont="1"/>
    <xf numFmtId="17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175" fontId="0" fillId="0" borderId="0" xfId="0" applyNumberFormat="1" applyFont="1" applyFill="1" applyBorder="1"/>
    <xf numFmtId="2" fontId="0" fillId="0" borderId="0" xfId="0" applyNumberFormat="1" applyFill="1" applyBorder="1"/>
    <xf numFmtId="2" fontId="7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16" borderId="0" xfId="0" applyNumberFormat="1" applyFill="1" applyBorder="1" applyAlignment="1">
      <alignment horizontal="center"/>
    </xf>
    <xf numFmtId="2" fontId="0" fillId="0" borderId="0" xfId="0" applyNumberFormat="1"/>
    <xf numFmtId="172" fontId="7" fillId="0" borderId="0" xfId="0" applyNumberFormat="1" applyFont="1" applyFill="1" applyBorder="1"/>
    <xf numFmtId="175" fontId="0" fillId="0" borderId="0" xfId="0" applyNumberFormat="1"/>
    <xf numFmtId="172" fontId="0" fillId="0" borderId="0" xfId="0" applyNumberFormat="1" applyFill="1" applyBorder="1"/>
    <xf numFmtId="168" fontId="0" fillId="0" borderId="0" xfId="0" applyNumberFormat="1" applyFill="1" applyAlignment="1">
      <alignment horizontal="center"/>
    </xf>
    <xf numFmtId="175" fontId="0" fillId="0" borderId="0" xfId="0" applyNumberFormat="1" applyFill="1"/>
    <xf numFmtId="176" fontId="0" fillId="0" borderId="0" xfId="0" applyNumberFormat="1" applyFont="1" applyFill="1" applyBorder="1" applyAlignment="1">
      <alignment horizontal="right"/>
    </xf>
    <xf numFmtId="172" fontId="0" fillId="0" borderId="0" xfId="0" applyNumberFormat="1" applyFill="1"/>
    <xf numFmtId="2" fontId="0" fillId="0" borderId="0" xfId="0" applyNumberFormat="1" applyFont="1" applyFill="1" applyAlignment="1">
      <alignment horizontal="center"/>
    </xf>
    <xf numFmtId="168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0" fontId="25" fillId="0" borderId="0" xfId="1" applyNumberFormat="1" applyFont="1" applyFill="1"/>
    <xf numFmtId="172" fontId="0" fillId="0" borderId="0" xfId="0" applyNumberFormat="1"/>
    <xf numFmtId="0" fontId="0" fillId="0" borderId="0" xfId="0" applyBorder="1" applyAlignment="1">
      <alignment horizontal="center"/>
    </xf>
    <xf numFmtId="168" fontId="0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2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7" fillId="11" borderId="12" xfId="0" applyFont="1" applyFill="1" applyBorder="1" applyAlignment="1">
      <alignment horizontal="left"/>
    </xf>
    <xf numFmtId="0" fontId="29" fillId="9" borderId="2" xfId="0" applyFont="1" applyFill="1" applyBorder="1" applyAlignment="1">
      <alignment horizontal="left"/>
    </xf>
    <xf numFmtId="0" fontId="20" fillId="10" borderId="2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0" fillId="14" borderId="14" xfId="0" applyFont="1" applyFill="1" applyBorder="1" applyAlignment="1">
      <alignment horizontal="left"/>
    </xf>
    <xf numFmtId="0" fontId="0" fillId="16" borderId="0" xfId="0" applyFill="1"/>
    <xf numFmtId="172" fontId="0" fillId="16" borderId="0" xfId="0" applyNumberFormat="1" applyFont="1" applyFill="1" applyBorder="1"/>
    <xf numFmtId="2" fontId="22" fillId="0" borderId="0" xfId="1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right"/>
    </xf>
    <xf numFmtId="2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center"/>
    </xf>
    <xf numFmtId="2" fontId="21" fillId="15" borderId="0" xfId="0" applyNumberFormat="1" applyFont="1" applyFill="1" applyAlignment="1">
      <alignment horizontal="center"/>
    </xf>
    <xf numFmtId="0" fontId="0" fillId="0" borderId="0" xfId="0" applyFont="1" applyFill="1"/>
    <xf numFmtId="2" fontId="0" fillId="0" borderId="0" xfId="0" applyNumberFormat="1" applyFill="1" applyBorder="1" applyAlignment="1">
      <alignment horizontal="center"/>
    </xf>
    <xf numFmtId="0" fontId="23" fillId="0" borderId="0" xfId="0" applyFont="1" applyFill="1"/>
    <xf numFmtId="0" fontId="24" fillId="0" borderId="0" xfId="0" applyFont="1" applyFill="1" applyAlignment="1">
      <alignment vertical="center"/>
    </xf>
    <xf numFmtId="0" fontId="23" fillId="0" borderId="1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center"/>
    </xf>
    <xf numFmtId="0" fontId="20" fillId="17" borderId="0" xfId="0" applyFont="1" applyFill="1" applyBorder="1"/>
    <xf numFmtId="2" fontId="20" fillId="17" borderId="0" xfId="0" applyNumberFormat="1" applyFont="1" applyFill="1" applyBorder="1"/>
    <xf numFmtId="1" fontId="22" fillId="0" borderId="0" xfId="1" applyNumberFormat="1" applyFont="1" applyFill="1" applyBorder="1" applyAlignment="1">
      <alignment horizontal="center"/>
    </xf>
    <xf numFmtId="172" fontId="0" fillId="0" borderId="0" xfId="0" applyNumberFormat="1" applyFont="1"/>
    <xf numFmtId="0" fontId="32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1" fontId="3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8" fontId="7" fillId="0" borderId="0" xfId="0" applyNumberFormat="1" applyFont="1" applyAlignment="1">
      <alignment horizontal="center"/>
    </xf>
    <xf numFmtId="169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2" fontId="0" fillId="0" borderId="2" xfId="0" applyNumberFormat="1" applyBorder="1"/>
    <xf numFmtId="0" fontId="0" fillId="0" borderId="0" xfId="0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68" fontId="7" fillId="7" borderId="0" xfId="0" applyNumberFormat="1" applyFont="1" applyFill="1" applyBorder="1" applyAlignment="1">
      <alignment horizontal="center"/>
    </xf>
    <xf numFmtId="10" fontId="25" fillId="7" borderId="0" xfId="1" applyNumberFormat="1" applyFont="1" applyFill="1" applyBorder="1" applyAlignment="1">
      <alignment horizontal="center"/>
    </xf>
    <xf numFmtId="2" fontId="26" fillId="7" borderId="0" xfId="0" applyNumberFormat="1" applyFont="1" applyFill="1" applyBorder="1" applyAlignment="1">
      <alignment horizontal="center"/>
    </xf>
    <xf numFmtId="2" fontId="7" fillId="7" borderId="0" xfId="0" applyNumberFormat="1" applyFont="1" applyFill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2" fontId="0" fillId="6" borderId="0" xfId="0" applyNumberFormat="1" applyFont="1" applyFill="1" applyBorder="1"/>
    <xf numFmtId="2" fontId="0" fillId="6" borderId="0" xfId="0" applyNumberFormat="1" applyFill="1" applyBorder="1"/>
    <xf numFmtId="172" fontId="0" fillId="6" borderId="0" xfId="0" applyNumberFormat="1" applyFill="1" applyBorder="1"/>
    <xf numFmtId="2" fontId="0" fillId="6" borderId="0" xfId="0" applyNumberFormat="1" applyFill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4" fontId="7" fillId="2" borderId="0" xfId="1" applyNumberFormat="1" applyFont="1" applyFill="1" applyBorder="1" applyAlignment="1">
      <alignment horizontal="center"/>
    </xf>
    <xf numFmtId="165" fontId="0" fillId="18" borderId="0" xfId="0" applyNumberFormat="1" applyFill="1" applyBorder="1"/>
    <xf numFmtId="0" fontId="5" fillId="0" borderId="0" xfId="0" applyFont="1" applyFill="1" applyBorder="1" applyAlignment="1">
      <alignment horizontal="center" vertical="center"/>
    </xf>
    <xf numFmtId="165" fontId="0" fillId="0" borderId="15" xfId="0" applyNumberFormat="1" applyFill="1" applyBorder="1"/>
    <xf numFmtId="0" fontId="36" fillId="0" borderId="0" xfId="0" applyFont="1" applyFill="1" applyBorder="1"/>
    <xf numFmtId="166" fontId="14" fillId="0" borderId="0" xfId="0" applyNumberFormat="1" applyFont="1" applyFill="1" applyBorder="1"/>
    <xf numFmtId="0" fontId="38" fillId="0" borderId="0" xfId="0" applyFont="1" applyFill="1" applyBorder="1"/>
    <xf numFmtId="166" fontId="38" fillId="0" borderId="0" xfId="0" applyNumberFormat="1" applyFont="1" applyFill="1" applyBorder="1"/>
    <xf numFmtId="0" fontId="38" fillId="0" borderId="0" xfId="0" applyFont="1" applyFill="1" applyBorder="1" applyAlignment="1">
      <alignment horizontal="left"/>
    </xf>
    <xf numFmtId="165" fontId="26" fillId="0" borderId="0" xfId="0" applyNumberFormat="1" applyFont="1" applyFill="1" applyBorder="1" applyAlignment="1">
      <alignment horizontal="right"/>
    </xf>
    <xf numFmtId="165" fontId="0" fillId="6" borderId="0" xfId="0" applyNumberFormat="1" applyFill="1" applyBorder="1"/>
    <xf numFmtId="0" fontId="39" fillId="0" borderId="0" xfId="0" applyFont="1" applyFill="1" applyBorder="1"/>
    <xf numFmtId="0" fontId="40" fillId="0" borderId="0" xfId="0" applyFont="1" applyFill="1" applyBorder="1"/>
    <xf numFmtId="166" fontId="41" fillId="0" borderId="0" xfId="0" applyNumberFormat="1" applyFont="1" applyFill="1" applyBorder="1"/>
    <xf numFmtId="175" fontId="12" fillId="0" borderId="0" xfId="0" applyNumberFormat="1" applyFont="1"/>
    <xf numFmtId="164" fontId="12" fillId="0" borderId="0" xfId="0" applyNumberFormat="1" applyFont="1"/>
    <xf numFmtId="1" fontId="1" fillId="19" borderId="0" xfId="0" applyNumberFormat="1" applyFont="1" applyFill="1" applyAlignment="1">
      <alignment horizontal="center"/>
    </xf>
    <xf numFmtId="164" fontId="1" fillId="19" borderId="0" xfId="0" applyNumberFormat="1" applyFont="1" applyFill="1"/>
    <xf numFmtId="164" fontId="0" fillId="19" borderId="0" xfId="0" applyNumberFormat="1" applyFill="1" applyBorder="1"/>
    <xf numFmtId="165" fontId="0" fillId="19" borderId="0" xfId="0" applyNumberFormat="1" applyFill="1"/>
    <xf numFmtId="164" fontId="0" fillId="19" borderId="0" xfId="0" applyNumberFormat="1" applyFill="1"/>
    <xf numFmtId="0" fontId="0" fillId="19" borderId="0" xfId="0" applyFill="1" applyBorder="1"/>
    <xf numFmtId="0" fontId="0" fillId="19" borderId="0" xfId="0" applyFill="1"/>
    <xf numFmtId="1" fontId="1" fillId="20" borderId="0" xfId="0" applyNumberFormat="1" applyFont="1" applyFill="1" applyAlignment="1">
      <alignment horizontal="center"/>
    </xf>
    <xf numFmtId="164" fontId="1" fillId="20" borderId="0" xfId="0" applyNumberFormat="1" applyFont="1" applyFill="1"/>
    <xf numFmtId="164" fontId="0" fillId="20" borderId="0" xfId="0" applyNumberFormat="1" applyFill="1" applyBorder="1"/>
    <xf numFmtId="165" fontId="0" fillId="20" borderId="0" xfId="0" applyNumberFormat="1" applyFill="1"/>
    <xf numFmtId="164" fontId="0" fillId="20" borderId="0" xfId="0" applyNumberFormat="1" applyFill="1"/>
    <xf numFmtId="0" fontId="0" fillId="20" borderId="0" xfId="0" applyFill="1" applyBorder="1"/>
    <xf numFmtId="0" fontId="0" fillId="20" borderId="0" xfId="0" applyFill="1"/>
    <xf numFmtId="0" fontId="0" fillId="0" borderId="0" xfId="0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</cellXfs>
  <cellStyles count="3">
    <cellStyle name="Normálna" xfId="0" builtinId="0"/>
    <cellStyle name="Normálna 3" xfId="2"/>
    <cellStyle name="Percentá" xfId="1" builtinId="5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1-4EEE-9395-C693B938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i= 0.5'!$N$12:$N$52</c:f>
              <c:numCache>
                <c:formatCode>0.00</c:formatCode>
                <c:ptCount val="41"/>
                <c:pt idx="0">
                  <c:v>0</c:v>
                </c:pt>
                <c:pt idx="1">
                  <c:v>75.181358990071658</c:v>
                </c:pt>
                <c:pt idx="2">
                  <c:v>142.48215415843561</c:v>
                </c:pt>
                <c:pt idx="3">
                  <c:v>209.07768470267229</c:v>
                </c:pt>
                <c:pt idx="4">
                  <c:v>275.14844153521972</c:v>
                </c:pt>
                <c:pt idx="5">
                  <c:v>341.46644229767344</c:v>
                </c:pt>
                <c:pt idx="6">
                  <c:v>408.38352206588797</c:v>
                </c:pt>
                <c:pt idx="7">
                  <c:v>475.35387429863658</c:v>
                </c:pt>
                <c:pt idx="8">
                  <c:v>541.26569191028034</c:v>
                </c:pt>
                <c:pt idx="9">
                  <c:v>605.784691059225</c:v>
                </c:pt>
                <c:pt idx="10">
                  <c:v>669.35017880014743</c:v>
                </c:pt>
                <c:pt idx="11">
                  <c:v>731.94415868778106</c:v>
                </c:pt>
                <c:pt idx="12">
                  <c:v>794.23409254672424</c:v>
                </c:pt>
                <c:pt idx="13">
                  <c:v>855.45246595510616</c:v>
                </c:pt>
                <c:pt idx="14">
                  <c:v>915.06889301452361</c:v>
                </c:pt>
                <c:pt idx="15">
                  <c:v>972.18537334429016</c:v>
                </c:pt>
                <c:pt idx="16">
                  <c:v>1027.4994041589746</c:v>
                </c:pt>
                <c:pt idx="17">
                  <c:v>1081.569551732083</c:v>
                </c:pt>
                <c:pt idx="18">
                  <c:v>1132.5293432762323</c:v>
                </c:pt>
                <c:pt idx="19">
                  <c:v>1179.8691707657595</c:v>
                </c:pt>
                <c:pt idx="20">
                  <c:v>1222.8163122117139</c:v>
                </c:pt>
                <c:pt idx="21">
                  <c:v>1262.5549316481472</c:v>
                </c:pt>
                <c:pt idx="22">
                  <c:v>1297.3184835165723</c:v>
                </c:pt>
                <c:pt idx="23">
                  <c:v>1328.3961198059626</c:v>
                </c:pt>
                <c:pt idx="24">
                  <c:v>1354.94497532539</c:v>
                </c:pt>
                <c:pt idx="25">
                  <c:v>1377.1219706142695</c:v>
                </c:pt>
                <c:pt idx="26">
                  <c:v>1390.8247267033091</c:v>
                </c:pt>
                <c:pt idx="27">
                  <c:v>1395.5492347080103</c:v>
                </c:pt>
                <c:pt idx="28">
                  <c:v>1392.4922665559047</c:v>
                </c:pt>
                <c:pt idx="29">
                  <c:v>1382.5889126139571</c:v>
                </c:pt>
                <c:pt idx="30">
                  <c:v>1364.8714795512692</c:v>
                </c:pt>
                <c:pt idx="31">
                  <c:v>1334.9684096763383</c:v>
                </c:pt>
                <c:pt idx="32">
                  <c:v>1294.5688879432828</c:v>
                </c:pt>
                <c:pt idx="33">
                  <c:v>1236.5616506929155</c:v>
                </c:pt>
                <c:pt idx="34">
                  <c:v>1161.2611558526617</c:v>
                </c:pt>
                <c:pt idx="35">
                  <c:v>1067.1062306986191</c:v>
                </c:pt>
                <c:pt idx="36">
                  <c:v>958.22349434876946</c:v>
                </c:pt>
                <c:pt idx="37">
                  <c:v>833.81584047157162</c:v>
                </c:pt>
                <c:pt idx="38">
                  <c:v>690.32434066101189</c:v>
                </c:pt>
                <c:pt idx="39">
                  <c:v>522.96063035754935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D-407B-BB81-221AFF761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E-4D34-A727-10AE1B11D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Sven All Bonds'!$N$12:$N$52</c:f>
              <c:numCache>
                <c:formatCode>0.00</c:formatCode>
                <c:ptCount val="41"/>
                <c:pt idx="0">
                  <c:v>0</c:v>
                </c:pt>
                <c:pt idx="1">
                  <c:v>57.164937505190665</c:v>
                </c:pt>
                <c:pt idx="2">
                  <c:v>107.56237089724345</c:v>
                </c:pt>
                <c:pt idx="3">
                  <c:v>157.99177197223685</c:v>
                </c:pt>
                <c:pt idx="4">
                  <c:v>208.86287924396038</c:v>
                </c:pt>
                <c:pt idx="5">
                  <c:v>261.31877383186543</c:v>
                </c:pt>
                <c:pt idx="6">
                  <c:v>315.99360846049285</c:v>
                </c:pt>
                <c:pt idx="7">
                  <c:v>372.4910354959809</c:v>
                </c:pt>
                <c:pt idx="8">
                  <c:v>429.74055125694917</c:v>
                </c:pt>
                <c:pt idx="9">
                  <c:v>487.38922179089332</c:v>
                </c:pt>
                <c:pt idx="10">
                  <c:v>545.82717270403191</c:v>
                </c:pt>
                <c:pt idx="11">
                  <c:v>604.97483269001123</c:v>
                </c:pt>
                <c:pt idx="12">
                  <c:v>665.42511480397911</c:v>
                </c:pt>
                <c:pt idx="13">
                  <c:v>726.31428340971377</c:v>
                </c:pt>
                <c:pt idx="14">
                  <c:v>786.99860880095218</c:v>
                </c:pt>
                <c:pt idx="15">
                  <c:v>846.47088525119273</c:v>
                </c:pt>
                <c:pt idx="16">
                  <c:v>905.33886988526115</c:v>
                </c:pt>
                <c:pt idx="17">
                  <c:v>964.06087104828975</c:v>
                </c:pt>
                <c:pt idx="18">
                  <c:v>1020.652977439001</c:v>
                </c:pt>
                <c:pt idx="19">
                  <c:v>1074.4862179920729</c:v>
                </c:pt>
                <c:pt idx="20">
                  <c:v>1124.6826313925908</c:v>
                </c:pt>
                <c:pt idx="21">
                  <c:v>1172.3276899926982</c:v>
                </c:pt>
                <c:pt idx="22">
                  <c:v>1215.5586164771325</c:v>
                </c:pt>
                <c:pt idx="23">
                  <c:v>1255.5837851701706</c:v>
                </c:pt>
                <c:pt idx="24">
                  <c:v>1291.474917916612</c:v>
                </c:pt>
                <c:pt idx="25">
                  <c:v>1323.2839190776876</c:v>
                </c:pt>
                <c:pt idx="26">
                  <c:v>1346.7582236436879</c:v>
                </c:pt>
                <c:pt idx="27">
                  <c:v>1361.2490993017977</c:v>
                </c:pt>
                <c:pt idx="28">
                  <c:v>1367.8306849748162</c:v>
                </c:pt>
                <c:pt idx="29">
                  <c:v>1367.3245168803453</c:v>
                </c:pt>
                <c:pt idx="30">
                  <c:v>1358.6236987644202</c:v>
                </c:pt>
                <c:pt idx="31">
                  <c:v>1337.1485656904947</c:v>
                </c:pt>
                <c:pt idx="32">
                  <c:v>1304.3946156107704</c:v>
                </c:pt>
                <c:pt idx="33">
                  <c:v>1252.9270614569514</c:v>
                </c:pt>
                <c:pt idx="34">
                  <c:v>1182.7279187098734</c:v>
                </c:pt>
                <c:pt idx="35">
                  <c:v>1091.8540050400279</c:v>
                </c:pt>
                <c:pt idx="36">
                  <c:v>984.10773586772882</c:v>
                </c:pt>
                <c:pt idx="37">
                  <c:v>858.3321761580836</c:v>
                </c:pt>
                <c:pt idx="38">
                  <c:v>710.51213665863236</c:v>
                </c:pt>
                <c:pt idx="39">
                  <c:v>535.27030584066711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5-4A92-B92F-F3035066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E-4BA0-8617-DFC5F63C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Sven AAA rated'!$N$12:$N$52</c:f>
              <c:numCache>
                <c:formatCode>0.00</c:formatCode>
                <c:ptCount val="41"/>
                <c:pt idx="0">
                  <c:v>0</c:v>
                </c:pt>
                <c:pt idx="1">
                  <c:v>64.083545329793196</c:v>
                </c:pt>
                <c:pt idx="2">
                  <c:v>121.31186454304589</c:v>
                </c:pt>
                <c:pt idx="3">
                  <c:v>178.38841713158513</c:v>
                </c:pt>
                <c:pt idx="4">
                  <c:v>235.51217303612884</c:v>
                </c:pt>
                <c:pt idx="5">
                  <c:v>293.63538815078005</c:v>
                </c:pt>
                <c:pt idx="6">
                  <c:v>353.23698312370493</c:v>
                </c:pt>
                <c:pt idx="7">
                  <c:v>413.80876178712788</c:v>
                </c:pt>
                <c:pt idx="8">
                  <c:v>474.21900976711254</c:v>
                </c:pt>
                <c:pt idx="9">
                  <c:v>534.09794400497594</c:v>
                </c:pt>
                <c:pt idx="10">
                  <c:v>593.85357932537545</c:v>
                </c:pt>
                <c:pt idx="11">
                  <c:v>653.44935588863768</c:v>
                </c:pt>
                <c:pt idx="12">
                  <c:v>713.53917455367082</c:v>
                </c:pt>
                <c:pt idx="13">
                  <c:v>773.33952784855205</c:v>
                </c:pt>
                <c:pt idx="14">
                  <c:v>832.29901321384659</c:v>
                </c:pt>
                <c:pt idx="15">
                  <c:v>889.5041314781588</c:v>
                </c:pt>
                <c:pt idx="16">
                  <c:v>945.64481296742656</c:v>
                </c:pt>
                <c:pt idx="17">
                  <c:v>1001.2592899693327</c:v>
                </c:pt>
                <c:pt idx="18">
                  <c:v>1054.4493806653527</c:v>
                </c:pt>
                <c:pt idx="19">
                  <c:v>1104.6671269423696</c:v>
                </c:pt>
                <c:pt idx="20">
                  <c:v>1151.1061650953652</c:v>
                </c:pt>
                <c:pt idx="21">
                  <c:v>1194.9105870171015</c:v>
                </c:pt>
                <c:pt idx="22">
                  <c:v>1234.2739730494927</c:v>
                </c:pt>
                <c:pt idx="23">
                  <c:v>1270.4460160843828</c:v>
                </c:pt>
                <c:pt idx="24">
                  <c:v>1302.5375941950419</c:v>
                </c:pt>
                <c:pt idx="25">
                  <c:v>1330.637893672812</c:v>
                </c:pt>
                <c:pt idx="26">
                  <c:v>1350.5498308051979</c:v>
                </c:pt>
                <c:pt idx="27">
                  <c:v>1361.6751729298635</c:v>
                </c:pt>
                <c:pt idx="28">
                  <c:v>1365.125493322912</c:v>
                </c:pt>
                <c:pt idx="29">
                  <c:v>1361.7509386838196</c:v>
                </c:pt>
                <c:pt idx="30">
                  <c:v>1350.4774602180164</c:v>
                </c:pt>
                <c:pt idx="31">
                  <c:v>1326.7852108818879</c:v>
                </c:pt>
                <c:pt idx="32">
                  <c:v>1292.2154123980335</c:v>
                </c:pt>
                <c:pt idx="33">
                  <c:v>1239.4274019391639</c:v>
                </c:pt>
                <c:pt idx="34">
                  <c:v>1168.4970022733855</c:v>
                </c:pt>
                <c:pt idx="35">
                  <c:v>1077.5926456111911</c:v>
                </c:pt>
                <c:pt idx="36">
                  <c:v>970.60566852860245</c:v>
                </c:pt>
                <c:pt idx="37">
                  <c:v>846.47875808223853</c:v>
                </c:pt>
                <c:pt idx="38">
                  <c:v>701.32761155563958</c:v>
                </c:pt>
                <c:pt idx="39">
                  <c:v>529.94799176694949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A-431C-9B66-0D760A63A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3-4609-B746-3E20FDE32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Smith-Wilson'!$N$12:$N$52</c:f>
              <c:numCache>
                <c:formatCode>0.00</c:formatCode>
                <c:ptCount val="41"/>
                <c:pt idx="0">
                  <c:v>0</c:v>
                </c:pt>
                <c:pt idx="1">
                  <c:v>59.130034934254354</c:v>
                </c:pt>
                <c:pt idx="2">
                  <c:v>111.73416345655187</c:v>
                </c:pt>
                <c:pt idx="3">
                  <c:v>164.20849660239583</c:v>
                </c:pt>
                <c:pt idx="4">
                  <c:v>217.1155337685002</c:v>
                </c:pt>
                <c:pt idx="5">
                  <c:v>271.37684089094819</c:v>
                </c:pt>
                <c:pt idx="6">
                  <c:v>327.36274962390644</c:v>
                </c:pt>
                <c:pt idx="7">
                  <c:v>384.58633885369318</c:v>
                </c:pt>
                <c:pt idx="8">
                  <c:v>442.30535356591872</c:v>
                </c:pt>
                <c:pt idx="9">
                  <c:v>500.09649510500003</c:v>
                </c:pt>
                <c:pt idx="10">
                  <c:v>558.71279319640962</c:v>
                </c:pt>
                <c:pt idx="11">
                  <c:v>618.83352208450651</c:v>
                </c:pt>
                <c:pt idx="12">
                  <c:v>677.50290309154093</c:v>
                </c:pt>
                <c:pt idx="13">
                  <c:v>736.56438917866672</c:v>
                </c:pt>
                <c:pt idx="14">
                  <c:v>795.46830793396407</c:v>
                </c:pt>
                <c:pt idx="15">
                  <c:v>851.50724430877005</c:v>
                </c:pt>
                <c:pt idx="16">
                  <c:v>903.77424541148878</c:v>
                </c:pt>
                <c:pt idx="17">
                  <c:v>953.05954319021566</c:v>
                </c:pt>
                <c:pt idx="18">
                  <c:v>998.69651255296662</c:v>
                </c:pt>
                <c:pt idx="19">
                  <c:v>1041.2970334323195</c:v>
                </c:pt>
                <c:pt idx="20">
                  <c:v>1081.0705412318678</c:v>
                </c:pt>
                <c:pt idx="21">
                  <c:v>1119.773846305407</c:v>
                </c:pt>
                <c:pt idx="22">
                  <c:v>1156.0885703014733</c:v>
                </c:pt>
                <c:pt idx="23">
                  <c:v>1190.7073676839241</c:v>
                </c:pt>
                <c:pt idx="24">
                  <c:v>1223.0562912958981</c:v>
                </c:pt>
                <c:pt idx="25">
                  <c:v>1252.6099614547675</c:v>
                </c:pt>
                <c:pt idx="26">
                  <c:v>1275.3072102183096</c:v>
                </c:pt>
                <c:pt idx="27">
                  <c:v>1290.6884713461291</c:v>
                </c:pt>
                <c:pt idx="28">
                  <c:v>1299.2896045417749</c:v>
                </c:pt>
                <c:pt idx="29">
                  <c:v>1301.9692568202752</c:v>
                </c:pt>
                <c:pt idx="30">
                  <c:v>1297.2465083412997</c:v>
                </c:pt>
                <c:pt idx="31">
                  <c:v>1281.2762056221122</c:v>
                </c:pt>
                <c:pt idx="32">
                  <c:v>1254.3619528329016</c:v>
                </c:pt>
                <c:pt idx="33">
                  <c:v>1209.3199687620599</c:v>
                </c:pt>
                <c:pt idx="34">
                  <c:v>1145.9895594370291</c:v>
                </c:pt>
                <c:pt idx="35">
                  <c:v>1062.2611954600757</c:v>
                </c:pt>
                <c:pt idx="36">
                  <c:v>961.74090084562386</c:v>
                </c:pt>
                <c:pt idx="37">
                  <c:v>842.72745126508528</c:v>
                </c:pt>
                <c:pt idx="38">
                  <c:v>701.22431286032895</c:v>
                </c:pt>
                <c:pt idx="39">
                  <c:v>531.27375508930402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4-41A2-83BE-27D5D2F53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9-42A5-8CB2-5610F438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i= 0.5 E'!$N$12:$N$52</c:f>
              <c:numCache>
                <c:formatCode>0.00</c:formatCode>
                <c:ptCount val="41"/>
                <c:pt idx="0">
                  <c:v>0</c:v>
                </c:pt>
                <c:pt idx="1">
                  <c:v>171.71597245050907</c:v>
                </c:pt>
                <c:pt idx="2">
                  <c:v>344.47200928585789</c:v>
                </c:pt>
                <c:pt idx="3">
                  <c:v>518.30302023139575</c:v>
                </c:pt>
                <c:pt idx="4">
                  <c:v>693.19373659061785</c:v>
                </c:pt>
                <c:pt idx="5">
                  <c:v>869.12736634088014</c:v>
                </c:pt>
                <c:pt idx="6">
                  <c:v>1046.1671432753974</c:v>
                </c:pt>
                <c:pt idx="7">
                  <c:v>1224.474702058772</c:v>
                </c:pt>
                <c:pt idx="8">
                  <c:v>1404.159416804252</c:v>
                </c:pt>
                <c:pt idx="9">
                  <c:v>1585.2305183285634</c:v>
                </c:pt>
                <c:pt idx="10">
                  <c:v>1767.7478649960422</c:v>
                </c:pt>
                <c:pt idx="11">
                  <c:v>1951.6586327589712</c:v>
                </c:pt>
                <c:pt idx="12">
                  <c:v>2137.1817106107483</c:v>
                </c:pt>
                <c:pt idx="13">
                  <c:v>2324.5357163411577</c:v>
                </c:pt>
                <c:pt idx="14">
                  <c:v>2514.0328956448661</c:v>
                </c:pt>
                <c:pt idx="15">
                  <c:v>2705.6152244187497</c:v>
                </c:pt>
                <c:pt idx="16">
                  <c:v>2899.2949650064493</c:v>
                </c:pt>
                <c:pt idx="17">
                  <c:v>3095.7718424672844</c:v>
                </c:pt>
                <c:pt idx="18">
                  <c:v>3295.4250923031245</c:v>
                </c:pt>
                <c:pt idx="19">
                  <c:v>3498.6981774997175</c:v>
                </c:pt>
                <c:pt idx="20">
                  <c:v>3705.4786172790077</c:v>
                </c:pt>
                <c:pt idx="21">
                  <c:v>3916.6054070784735</c:v>
                </c:pt>
                <c:pt idx="22">
                  <c:v>4131.8865963451717</c:v>
                </c:pt>
                <c:pt idx="23">
                  <c:v>4351.9479672521047</c:v>
                </c:pt>
                <c:pt idx="24">
                  <c:v>4577.2565985709243</c:v>
                </c:pt>
                <c:pt idx="25">
                  <c:v>4810.0778935954477</c:v>
                </c:pt>
                <c:pt idx="26">
                  <c:v>5051.0726968980225</c:v>
                </c:pt>
                <c:pt idx="27">
                  <c:v>5300.0932518296368</c:v>
                </c:pt>
                <c:pt idx="28">
                  <c:v>5557.213440537319</c:v>
                </c:pt>
                <c:pt idx="29">
                  <c:v>5823.7327217166894</c:v>
                </c:pt>
                <c:pt idx="30">
                  <c:v>6102.6694831402565</c:v>
                </c:pt>
                <c:pt idx="31">
                  <c:v>6394.2364235673031</c:v>
                </c:pt>
                <c:pt idx="32">
                  <c:v>6703.6274013487964</c:v>
                </c:pt>
                <c:pt idx="33">
                  <c:v>7031.7161838290021</c:v>
                </c:pt>
                <c:pt idx="34">
                  <c:v>7380.2955245669646</c:v>
                </c:pt>
                <c:pt idx="35">
                  <c:v>7747.5002530072497</c:v>
                </c:pt>
                <c:pt idx="36">
                  <c:v>8135.008368412944</c:v>
                </c:pt>
                <c:pt idx="37">
                  <c:v>8546.7852609359525</c:v>
                </c:pt>
                <c:pt idx="38">
                  <c:v>8988.2956862273059</c:v>
                </c:pt>
                <c:pt idx="39">
                  <c:v>9470.9162117677479</c:v>
                </c:pt>
                <c:pt idx="4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6-48C5-84D2-F0C60AB84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1-48E5-8AF6-25EA179F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Sven AAA rated E'!$N$12:$N$52</c:f>
              <c:numCache>
                <c:formatCode>0.00</c:formatCode>
                <c:ptCount val="41"/>
                <c:pt idx="0">
                  <c:v>0</c:v>
                </c:pt>
                <c:pt idx="1">
                  <c:v>126.56287614943903</c:v>
                </c:pt>
                <c:pt idx="2">
                  <c:v>256.21409443986659</c:v>
                </c:pt>
                <c:pt idx="3">
                  <c:v>388.08856017935341</c:v>
                </c:pt>
                <c:pt idx="4">
                  <c:v>522.24000927449379</c:v>
                </c:pt>
                <c:pt idx="5">
                  <c:v>659.06559060103382</c:v>
                </c:pt>
                <c:pt idx="6">
                  <c:v>798.91249203238976</c:v>
                </c:pt>
                <c:pt idx="7">
                  <c:v>942.02922134287746</c:v>
                </c:pt>
                <c:pt idx="8">
                  <c:v>1088.5211075272405</c:v>
                </c:pt>
                <c:pt idx="9">
                  <c:v>1238.3810028534867</c:v>
                </c:pt>
                <c:pt idx="10">
                  <c:v>1391.643810084066</c:v>
                </c:pt>
                <c:pt idx="11">
                  <c:v>1548.2733841334289</c:v>
                </c:pt>
                <c:pt idx="12">
                  <c:v>1708.4675785765085</c:v>
                </c:pt>
                <c:pt idx="13">
                  <c:v>1872.4454444756889</c:v>
                </c:pt>
                <c:pt idx="14">
                  <c:v>2040.5194159876637</c:v>
                </c:pt>
                <c:pt idx="15">
                  <c:v>2212.7159537224843</c:v>
                </c:pt>
                <c:pt idx="16">
                  <c:v>2389.1230212387991</c:v>
                </c:pt>
                <c:pt idx="17">
                  <c:v>2570.4034876249157</c:v>
                </c:pt>
                <c:pt idx="18">
                  <c:v>2756.9761229512756</c:v>
                </c:pt>
                <c:pt idx="19">
                  <c:v>2949.328126247502</c:v>
                </c:pt>
                <c:pt idx="20">
                  <c:v>3147.4908115883909</c:v>
                </c:pt>
                <c:pt idx="21">
                  <c:v>3352.3092050699051</c:v>
                </c:pt>
                <c:pt idx="22">
                  <c:v>3563.7682792563746</c:v>
                </c:pt>
                <c:pt idx="23">
                  <c:v>3782.560949208992</c:v>
                </c:pt>
                <c:pt idx="24">
                  <c:v>4009.2644744570857</c:v>
                </c:pt>
                <c:pt idx="25">
                  <c:v>4246.0624871140735</c:v>
                </c:pt>
                <c:pt idx="26">
                  <c:v>4493.7897279050785</c:v>
                </c:pt>
                <c:pt idx="27">
                  <c:v>4752.5837706300754</c:v>
                </c:pt>
                <c:pt idx="28">
                  <c:v>5022.7841339180641</c:v>
                </c:pt>
                <c:pt idx="29">
                  <c:v>5305.8561347858986</c:v>
                </c:pt>
                <c:pt idx="30">
                  <c:v>5604.8956739617242</c:v>
                </c:pt>
                <c:pt idx="31">
                  <c:v>5920.5148069486331</c:v>
                </c:pt>
                <c:pt idx="32">
                  <c:v>6257.9941978798242</c:v>
                </c:pt>
                <c:pt idx="33">
                  <c:v>6618.7470254865411</c:v>
                </c:pt>
                <c:pt idx="34">
                  <c:v>7005.1075254677417</c:v>
                </c:pt>
                <c:pt idx="35">
                  <c:v>7415.9934558618024</c:v>
                </c:pt>
                <c:pt idx="36">
                  <c:v>7853.6933490125566</c:v>
                </c:pt>
                <c:pt idx="37">
                  <c:v>8322.8069152813205</c:v>
                </c:pt>
                <c:pt idx="38">
                  <c:v>8829.5831530717369</c:v>
                </c:pt>
                <c:pt idx="39">
                  <c:v>9386.3736287263764</c:v>
                </c:pt>
                <c:pt idx="40">
                  <c:v>10000.000000000002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A-4E43-857F-87653CB70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8-44E7-A301-316698B4C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Smith-Wilson E'!$N$12:$N$52</c:f>
              <c:numCache>
                <c:formatCode>0.00</c:formatCode>
                <c:ptCount val="41"/>
                <c:pt idx="0">
                  <c:v>0</c:v>
                </c:pt>
                <c:pt idx="1">
                  <c:v>102.90116116061699</c:v>
                </c:pt>
                <c:pt idx="2">
                  <c:v>209.25189601506509</c:v>
                </c:pt>
                <c:pt idx="3">
                  <c:v>317.69477291140311</c:v>
                </c:pt>
                <c:pt idx="4">
                  <c:v>428.98104596516441</c:v>
                </c:pt>
                <c:pt idx="5">
                  <c:v>543.41053838972039</c:v>
                </c:pt>
                <c:pt idx="6">
                  <c:v>661.07292952643411</c:v>
                </c:pt>
                <c:pt idx="7">
                  <c:v>782.23881652960517</c:v>
                </c:pt>
                <c:pt idx="8">
                  <c:v>907.82553954333935</c:v>
                </c:pt>
                <c:pt idx="9">
                  <c:v>1037.761884675821</c:v>
                </c:pt>
                <c:pt idx="10">
                  <c:v>1172.8421986131546</c:v>
                </c:pt>
                <c:pt idx="11">
                  <c:v>1314.6114373296796</c:v>
                </c:pt>
                <c:pt idx="12">
                  <c:v>1455.5699518916617</c:v>
                </c:pt>
                <c:pt idx="13">
                  <c:v>1601.5426570707821</c:v>
                </c:pt>
                <c:pt idx="14">
                  <c:v>1752.8755544337355</c:v>
                </c:pt>
                <c:pt idx="15">
                  <c:v>1905.6597525282484</c:v>
                </c:pt>
                <c:pt idx="16">
                  <c:v>2056.283518269543</c:v>
                </c:pt>
                <c:pt idx="17">
                  <c:v>2205.7355725684529</c:v>
                </c:pt>
                <c:pt idx="18">
                  <c:v>2357.1086374878832</c:v>
                </c:pt>
                <c:pt idx="19">
                  <c:v>2513.5348993808389</c:v>
                </c:pt>
                <c:pt idx="20">
                  <c:v>2677.5702854004621</c:v>
                </c:pt>
                <c:pt idx="21">
                  <c:v>2851.6991696316081</c:v>
                </c:pt>
                <c:pt idx="22">
                  <c:v>3037.4814509692055</c:v>
                </c:pt>
                <c:pt idx="23">
                  <c:v>3234.45178977555</c:v>
                </c:pt>
                <c:pt idx="24">
                  <c:v>3444.4062972675692</c:v>
                </c:pt>
                <c:pt idx="25">
                  <c:v>3668.0638084243546</c:v>
                </c:pt>
                <c:pt idx="26">
                  <c:v>3907.1647548786923</c:v>
                </c:pt>
                <c:pt idx="27">
                  <c:v>4163.0073263883241</c:v>
                </c:pt>
                <c:pt idx="28">
                  <c:v>4434.8157476379602</c:v>
                </c:pt>
                <c:pt idx="29">
                  <c:v>4724.7479015063718</c:v>
                </c:pt>
                <c:pt idx="30">
                  <c:v>5035.0925850471513</c:v>
                </c:pt>
                <c:pt idx="31">
                  <c:v>5370.4068527461732</c:v>
                </c:pt>
                <c:pt idx="32">
                  <c:v>5731.9031598571619</c:v>
                </c:pt>
                <c:pt idx="33">
                  <c:v>6123.4674410345388</c:v>
                </c:pt>
                <c:pt idx="34">
                  <c:v>6548.4758445777734</c:v>
                </c:pt>
                <c:pt idx="35">
                  <c:v>7007.2592729611652</c:v>
                </c:pt>
                <c:pt idx="36">
                  <c:v>7503.415534859505</c:v>
                </c:pt>
                <c:pt idx="37">
                  <c:v>8040.0792527909762</c:v>
                </c:pt>
                <c:pt idx="38">
                  <c:v>8627.5755362132259</c:v>
                </c:pt>
                <c:pt idx="39">
                  <c:v>9276.7401662760931</c:v>
                </c:pt>
                <c:pt idx="4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A-4813-BBBC-A071FBDB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ziskovosti'!#REF!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0C-436E-9684-458718C0A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505808"/>
        <c:axId val="290504144"/>
      </c:lineChart>
      <c:catAx>
        <c:axId val="29050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4144"/>
        <c:crosses val="autoZero"/>
        <c:auto val="1"/>
        <c:lblAlgn val="ctr"/>
        <c:lblOffset val="100"/>
        <c:noMultiLvlLbl val="0"/>
      </c:catAx>
      <c:valAx>
        <c:axId val="2905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905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 testovanie Sven All Bonds E'!$N$12:$N$52</c:f>
              <c:numCache>
                <c:formatCode>0.00</c:formatCode>
                <c:ptCount val="41"/>
                <c:pt idx="0">
                  <c:v>0</c:v>
                </c:pt>
                <c:pt idx="1">
                  <c:v>103.51804658433957</c:v>
                </c:pt>
                <c:pt idx="2">
                  <c:v>210.08979949567083</c:v>
                </c:pt>
                <c:pt idx="3">
                  <c:v>319.12635086337923</c:v>
                </c:pt>
                <c:pt idx="4">
                  <c:v>431.12976890477194</c:v>
                </c:pt>
                <c:pt idx="5">
                  <c:v>546.88752897745599</c:v>
                </c:pt>
                <c:pt idx="6">
                  <c:v>667.0646581769638</c:v>
                </c:pt>
                <c:pt idx="7">
                  <c:v>792.15374669521316</c:v>
                </c:pt>
                <c:pt idx="8">
                  <c:v>922.43591481727481</c:v>
                </c:pt>
                <c:pt idx="9">
                  <c:v>1058.0083890442161</c:v>
                </c:pt>
                <c:pt idx="10">
                  <c:v>1198.9257872202134</c:v>
                </c:pt>
                <c:pt idx="11">
                  <c:v>1345.1200450713666</c:v>
                </c:pt>
                <c:pt idx="12">
                  <c:v>1496.6821339136202</c:v>
                </c:pt>
                <c:pt idx="13">
                  <c:v>1653.6990905166892</c:v>
                </c:pt>
                <c:pt idx="14">
                  <c:v>1816.331726740724</c:v>
                </c:pt>
                <c:pt idx="15">
                  <c:v>1984.4873735532101</c:v>
                </c:pt>
                <c:pt idx="16">
                  <c:v>2158.1296967545786</c:v>
                </c:pt>
                <c:pt idx="17">
                  <c:v>2337.7528155469627</c:v>
                </c:pt>
                <c:pt idx="18">
                  <c:v>2523.6544131683513</c:v>
                </c:pt>
                <c:pt idx="19">
                  <c:v>2716.2161833578857</c:v>
                </c:pt>
                <c:pt idx="20">
                  <c:v>2915.4203709902968</c:v>
                </c:pt>
                <c:pt idx="21">
                  <c:v>3122.0183187150078</c:v>
                </c:pt>
                <c:pt idx="22">
                  <c:v>3335.9869156708969</c:v>
                </c:pt>
                <c:pt idx="23">
                  <c:v>3557.97827427017</c:v>
                </c:pt>
                <c:pt idx="24">
                  <c:v>3788.5597415504403</c:v>
                </c:pt>
                <c:pt idx="25">
                  <c:v>4029.8436504097772</c:v>
                </c:pt>
                <c:pt idx="26">
                  <c:v>4282.7076094744516</c:v>
                </c:pt>
                <c:pt idx="27">
                  <c:v>4547.3830731025628</c:v>
                </c:pt>
                <c:pt idx="28">
                  <c:v>4824.3022692024151</c:v>
                </c:pt>
                <c:pt idx="29">
                  <c:v>5114.9931080021506</c:v>
                </c:pt>
                <c:pt idx="30">
                  <c:v>5422.5906502210164</c:v>
                </c:pt>
                <c:pt idx="31">
                  <c:v>5747.8742464904344</c:v>
                </c:pt>
                <c:pt idx="32">
                  <c:v>6096.1830686453432</c:v>
                </c:pt>
                <c:pt idx="33">
                  <c:v>6469.164307245388</c:v>
                </c:pt>
                <c:pt idx="34">
                  <c:v>6869.3917344790052</c:v>
                </c:pt>
                <c:pt idx="35">
                  <c:v>7296.116324069797</c:v>
                </c:pt>
                <c:pt idx="36">
                  <c:v>7751.9010144933336</c:v>
                </c:pt>
                <c:pt idx="37">
                  <c:v>8241.6364115101424</c:v>
                </c:pt>
                <c:pt idx="38">
                  <c:v>8771.9271934193857</c:v>
                </c:pt>
                <c:pt idx="39">
                  <c:v>9355.5624405906656</c:v>
                </c:pt>
                <c:pt idx="4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5-4971-B705-4FB840FB8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079712"/>
        <c:axId val="242075552"/>
      </c:lineChart>
      <c:catAx>
        <c:axId val="2420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5552"/>
        <c:crosses val="autoZero"/>
        <c:auto val="1"/>
        <c:lblAlgn val="ctr"/>
        <c:lblOffset val="100"/>
        <c:noMultiLvlLbl val="0"/>
      </c:catAx>
      <c:valAx>
        <c:axId val="242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20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2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2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22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0.png"/><Relationship Id="rId5" Type="http://schemas.openxmlformats.org/officeDocument/2006/relationships/image" Target="../media/image27.png"/><Relationship Id="rId10" Type="http://schemas.openxmlformats.org/officeDocument/2006/relationships/image" Target="../media/image3.png"/><Relationship Id="rId4" Type="http://schemas.openxmlformats.org/officeDocument/2006/relationships/image" Target="../media/image26.png"/><Relationship Id="rId9" Type="http://schemas.openxmlformats.org/officeDocument/2006/relationships/chart" Target="../charts/chart2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0.png"/><Relationship Id="rId5" Type="http://schemas.openxmlformats.org/officeDocument/2006/relationships/image" Target="../media/image27.png"/><Relationship Id="rId10" Type="http://schemas.openxmlformats.org/officeDocument/2006/relationships/image" Target="../media/image3.png"/><Relationship Id="rId4" Type="http://schemas.openxmlformats.org/officeDocument/2006/relationships/image" Target="../media/image26.png"/><Relationship Id="rId9" Type="http://schemas.openxmlformats.org/officeDocument/2006/relationships/chart" Target="../charts/chart4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0.png"/><Relationship Id="rId5" Type="http://schemas.openxmlformats.org/officeDocument/2006/relationships/image" Target="../media/image27.png"/><Relationship Id="rId10" Type="http://schemas.openxmlformats.org/officeDocument/2006/relationships/image" Target="../media/image3.png"/><Relationship Id="rId4" Type="http://schemas.openxmlformats.org/officeDocument/2006/relationships/image" Target="../media/image26.png"/><Relationship Id="rId9" Type="http://schemas.openxmlformats.org/officeDocument/2006/relationships/chart" Target="../charts/chart6.xm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0.png"/><Relationship Id="rId5" Type="http://schemas.openxmlformats.org/officeDocument/2006/relationships/image" Target="../media/image27.png"/><Relationship Id="rId10" Type="http://schemas.openxmlformats.org/officeDocument/2006/relationships/image" Target="../media/image3.png"/><Relationship Id="rId4" Type="http://schemas.openxmlformats.org/officeDocument/2006/relationships/image" Target="../media/image26.png"/><Relationship Id="rId9" Type="http://schemas.openxmlformats.org/officeDocument/2006/relationships/chart" Target="../charts/chart8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image" Target="../media/image26.png"/><Relationship Id="rId7" Type="http://schemas.openxmlformats.org/officeDocument/2006/relationships/chart" Target="../charts/chart9.xml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Relationship Id="rId9" Type="http://schemas.openxmlformats.org/officeDocument/2006/relationships/image" Target="../media/image30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image" Target="../media/image26.png"/><Relationship Id="rId7" Type="http://schemas.openxmlformats.org/officeDocument/2006/relationships/chart" Target="../charts/chart11.xml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Relationship Id="rId9" Type="http://schemas.openxmlformats.org/officeDocument/2006/relationships/image" Target="../media/image30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image" Target="../media/image26.png"/><Relationship Id="rId7" Type="http://schemas.openxmlformats.org/officeDocument/2006/relationships/chart" Target="../charts/chart13.xml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0.png"/><Relationship Id="rId4" Type="http://schemas.openxmlformats.org/officeDocument/2006/relationships/image" Target="../media/image27.png"/><Relationship Id="rId9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image" Target="../media/image26.png"/><Relationship Id="rId7" Type="http://schemas.openxmlformats.org/officeDocument/2006/relationships/chart" Target="../charts/chart15.xml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0.png"/><Relationship Id="rId4" Type="http://schemas.openxmlformats.org/officeDocument/2006/relationships/image" Target="../media/image27.png"/><Relationship Id="rId9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334434</xdr:colOff>
      <xdr:row>2</xdr:row>
      <xdr:rowOff>208492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551517" y="6953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551517" y="6953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7058025" y="2457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29632</xdr:colOff>
      <xdr:row>3</xdr:row>
      <xdr:rowOff>1984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2066924" y="488817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2066924" y="488817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4</xdr:col>
      <xdr:colOff>209550</xdr:colOff>
      <xdr:row>0</xdr:row>
      <xdr:rowOff>47624</xdr:rowOff>
    </xdr:from>
    <xdr:ext cx="173766" cy="191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BlokTextu 4"/>
            <xdr:cNvSpPr txBox="1"/>
          </xdr:nvSpPr>
          <xdr:spPr>
            <a:xfrm>
              <a:off x="2203847" y="47624"/>
              <a:ext cx="173766" cy="191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5" name="BlokTextu 4"/>
            <xdr:cNvSpPr txBox="1"/>
          </xdr:nvSpPr>
          <xdr:spPr>
            <a:xfrm>
              <a:off x="2203847" y="47624"/>
              <a:ext cx="173766" cy="191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5</xdr:col>
      <xdr:colOff>239314</xdr:colOff>
      <xdr:row>0</xdr:row>
      <xdr:rowOff>54768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BlokTextu 5"/>
            <xdr:cNvSpPr txBox="1"/>
          </xdr:nvSpPr>
          <xdr:spPr>
            <a:xfrm>
              <a:off x="2840830" y="54768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6" name="BlokTextu 5"/>
            <xdr:cNvSpPr txBox="1"/>
          </xdr:nvSpPr>
          <xdr:spPr>
            <a:xfrm>
              <a:off x="2840830" y="54768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239315</xdr:colOff>
      <xdr:row>0</xdr:row>
      <xdr:rowOff>48816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BlokTextu 6"/>
            <xdr:cNvSpPr txBox="1"/>
          </xdr:nvSpPr>
          <xdr:spPr>
            <a:xfrm>
              <a:off x="3448049" y="48816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7" name="BlokTextu 6"/>
            <xdr:cNvSpPr txBox="1"/>
          </xdr:nvSpPr>
          <xdr:spPr>
            <a:xfrm>
              <a:off x="3448049" y="48816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203596</xdr:colOff>
      <xdr:row>0</xdr:row>
      <xdr:rowOff>72628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BlokTextu 7"/>
            <xdr:cNvSpPr txBox="1"/>
          </xdr:nvSpPr>
          <xdr:spPr>
            <a:xfrm>
              <a:off x="4019549" y="72628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8" name="BlokTextu 7"/>
            <xdr:cNvSpPr txBox="1"/>
          </xdr:nvSpPr>
          <xdr:spPr>
            <a:xfrm>
              <a:off x="4019549" y="72628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280986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BlokTextu 8"/>
            <xdr:cNvSpPr txBox="1"/>
          </xdr:nvSpPr>
          <xdr:spPr>
            <a:xfrm>
              <a:off x="4704158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9" name="BlokTextu 8"/>
            <xdr:cNvSpPr txBox="1"/>
          </xdr:nvSpPr>
          <xdr:spPr>
            <a:xfrm>
              <a:off x="4704158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298846</xdr:colOff>
      <xdr:row>0</xdr:row>
      <xdr:rowOff>30956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BlokTextu 9"/>
            <xdr:cNvSpPr txBox="1"/>
          </xdr:nvSpPr>
          <xdr:spPr>
            <a:xfrm>
              <a:off x="5329237" y="30956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0" name="BlokTextu 9"/>
            <xdr:cNvSpPr txBox="1"/>
          </xdr:nvSpPr>
          <xdr:spPr>
            <a:xfrm>
              <a:off x="5329237" y="30956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40017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40017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3830300" y="2533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84784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84784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319614</xdr:colOff>
      <xdr:row>0</xdr:row>
      <xdr:rowOff>52916</xdr:rowOff>
    </xdr:from>
    <xdr:to>
      <xdr:col>4</xdr:col>
      <xdr:colOff>584409</xdr:colOff>
      <xdr:row>0</xdr:row>
      <xdr:rowOff>228176</xdr:rowOff>
    </xdr:to>
    <xdr:pic>
      <xdr:nvPicPr>
        <xdr:cNvPr id="14" name="Obrázok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406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259292</xdr:colOff>
      <xdr:row>0</xdr:row>
      <xdr:rowOff>195791</xdr:rowOff>
    </xdr:from>
    <xdr:to>
      <xdr:col>5</xdr:col>
      <xdr:colOff>686959</xdr:colOff>
      <xdr:row>1</xdr:row>
      <xdr:rowOff>178469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84" y="195791"/>
          <a:ext cx="427667" cy="241970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655" y="243417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997" y="24341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792" y="195792"/>
          <a:ext cx="809625" cy="296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11</xdr:col>
      <xdr:colOff>1543373</xdr:colOff>
      <xdr:row>1</xdr:row>
      <xdr:rowOff>74084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543" y="52918"/>
          <a:ext cx="1511622" cy="280458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7709" y="391584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1" y="1211792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959" y="16298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916" y="1809751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0125" y="2000250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8916" y="1227667"/>
          <a:ext cx="1772710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30" name="Obrázok 2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380" y="3153834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31" name="Obrázok 3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917" y="10583"/>
          <a:ext cx="422235" cy="2497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32" name="Obrázok 3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0375" y="0"/>
          <a:ext cx="575145" cy="30903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33" name="Obrázok 3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8917" y="0"/>
          <a:ext cx="689275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123824</xdr:colOff>
      <xdr:row>1</xdr:row>
      <xdr:rowOff>63190</xdr:rowOff>
    </xdr:to>
    <xdr:pic>
      <xdr:nvPicPr>
        <xdr:cNvPr id="34" name="Obrázok 3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0"/>
          <a:ext cx="732366" cy="32248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526415</xdr:colOff>
      <xdr:row>1</xdr:row>
      <xdr:rowOff>86118</xdr:rowOff>
    </xdr:to>
    <xdr:pic>
      <xdr:nvPicPr>
        <xdr:cNvPr id="35" name="Obrázok 34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042" y="0"/>
          <a:ext cx="1743498" cy="345410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36" name="Obrázok 3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38" y="418042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79376</xdr:colOff>
      <xdr:row>0</xdr:row>
      <xdr:rowOff>15875</xdr:rowOff>
    </xdr:from>
    <xdr:to>
      <xdr:col>15</xdr:col>
      <xdr:colOff>661459</xdr:colOff>
      <xdr:row>1</xdr:row>
      <xdr:rowOff>85586</xdr:rowOff>
    </xdr:to>
    <xdr:pic>
      <xdr:nvPicPr>
        <xdr:cNvPr id="37" name="Obrázok 3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3376" y="15875"/>
          <a:ext cx="582083" cy="329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72527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319614</xdr:colOff>
      <xdr:row>0</xdr:row>
      <xdr:rowOff>52916</xdr:rowOff>
    </xdr:from>
    <xdr:to>
      <xdr:col>4</xdr:col>
      <xdr:colOff>584409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9914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259292</xdr:colOff>
      <xdr:row>0</xdr:row>
      <xdr:rowOff>195791</xdr:rowOff>
    </xdr:from>
    <xdr:to>
      <xdr:col>5</xdr:col>
      <xdr:colOff>686959</xdr:colOff>
      <xdr:row>1</xdr:row>
      <xdr:rowOff>178469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8267" y="195791"/>
          <a:ext cx="427667" cy="239853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780" y="243417"/>
          <a:ext cx="867444" cy="246591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6005" y="243416"/>
          <a:ext cx="398211" cy="196452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917" y="195792"/>
          <a:ext cx="809625" cy="29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12</xdr:col>
      <xdr:colOff>323</xdr:colOff>
      <xdr:row>1</xdr:row>
      <xdr:rowOff>74084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551" y="52918"/>
          <a:ext cx="1511622" cy="278341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2717" y="389467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1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2084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041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0250" y="1998133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671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388" y="3151717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460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7100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123824</xdr:colOff>
      <xdr:row>1</xdr:row>
      <xdr:rowOff>63190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0" y="0"/>
          <a:ext cx="733424" cy="3203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526415</xdr:colOff>
      <xdr:row>1</xdr:row>
      <xdr:rowOff>86118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400" y="0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446" y="415925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79376</xdr:colOff>
      <xdr:row>0</xdr:row>
      <xdr:rowOff>15875</xdr:rowOff>
    </xdr:from>
    <xdr:to>
      <xdr:col>15</xdr:col>
      <xdr:colOff>661459</xdr:colOff>
      <xdr:row>1</xdr:row>
      <xdr:rowOff>85586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1051" y="15875"/>
          <a:ext cx="582083" cy="3268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72527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319614</xdr:colOff>
      <xdr:row>0</xdr:row>
      <xdr:rowOff>52916</xdr:rowOff>
    </xdr:from>
    <xdr:to>
      <xdr:col>4</xdr:col>
      <xdr:colOff>584409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9914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259292</xdr:colOff>
      <xdr:row>0</xdr:row>
      <xdr:rowOff>195791</xdr:rowOff>
    </xdr:from>
    <xdr:to>
      <xdr:col>5</xdr:col>
      <xdr:colOff>686959</xdr:colOff>
      <xdr:row>1</xdr:row>
      <xdr:rowOff>178469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8267" y="195791"/>
          <a:ext cx="427667" cy="239853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780" y="243417"/>
          <a:ext cx="867444" cy="246591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6005" y="243416"/>
          <a:ext cx="398211" cy="196452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0917" y="195792"/>
          <a:ext cx="809625" cy="29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12</xdr:col>
      <xdr:colOff>323</xdr:colOff>
      <xdr:row>1</xdr:row>
      <xdr:rowOff>74084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551" y="52918"/>
          <a:ext cx="1511622" cy="278341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2717" y="389467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1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2084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041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0250" y="1998133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671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388" y="3151717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460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7100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123824</xdr:colOff>
      <xdr:row>1</xdr:row>
      <xdr:rowOff>63190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0" y="0"/>
          <a:ext cx="733424" cy="3203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526415</xdr:colOff>
      <xdr:row>1</xdr:row>
      <xdr:rowOff>86118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400" y="0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446" y="415925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79376</xdr:colOff>
      <xdr:row>0</xdr:row>
      <xdr:rowOff>15875</xdr:rowOff>
    </xdr:from>
    <xdr:to>
      <xdr:col>15</xdr:col>
      <xdr:colOff>661459</xdr:colOff>
      <xdr:row>1</xdr:row>
      <xdr:rowOff>85586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1051" y="15875"/>
          <a:ext cx="582083" cy="3268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027747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240239</xdr:colOff>
      <xdr:row>0</xdr:row>
      <xdr:rowOff>52916</xdr:rowOff>
    </xdr:from>
    <xdr:to>
      <xdr:col>4</xdr:col>
      <xdr:colOff>505034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239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259292</xdr:colOff>
      <xdr:row>0</xdr:row>
      <xdr:rowOff>195791</xdr:rowOff>
    </xdr:from>
    <xdr:to>
      <xdr:col>6</xdr:col>
      <xdr:colOff>686959</xdr:colOff>
      <xdr:row>1</xdr:row>
      <xdr:rowOff>178469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3967" y="195791"/>
          <a:ext cx="427667" cy="239853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655" y="243417"/>
          <a:ext cx="867444" cy="246591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880" y="243416"/>
          <a:ext cx="398211" cy="196452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792" y="195792"/>
          <a:ext cx="809625" cy="29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12</xdr:col>
      <xdr:colOff>324</xdr:colOff>
      <xdr:row>1</xdr:row>
      <xdr:rowOff>74084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3751" y="52918"/>
          <a:ext cx="1511622" cy="278341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4917" y="389467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6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959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916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0125" y="1998133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891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2263" y="3151717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680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732366</xdr:colOff>
      <xdr:row>1</xdr:row>
      <xdr:rowOff>63190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1175" y="0"/>
          <a:ext cx="733424" cy="3203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526414</xdr:colOff>
      <xdr:row>1</xdr:row>
      <xdr:rowOff>86118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0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321" y="415925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582083</xdr:colOff>
      <xdr:row>1</xdr:row>
      <xdr:rowOff>69711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7042" y="0"/>
          <a:ext cx="582083" cy="3290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05852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240239</xdr:colOff>
      <xdr:row>0</xdr:row>
      <xdr:rowOff>52916</xdr:rowOff>
    </xdr:from>
    <xdr:to>
      <xdr:col>4</xdr:col>
      <xdr:colOff>505034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239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259292</xdr:colOff>
      <xdr:row>0</xdr:row>
      <xdr:rowOff>195791</xdr:rowOff>
    </xdr:from>
    <xdr:to>
      <xdr:col>6</xdr:col>
      <xdr:colOff>686959</xdr:colOff>
      <xdr:row>1</xdr:row>
      <xdr:rowOff>178469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5017" y="195791"/>
          <a:ext cx="427667" cy="239853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705" y="243417"/>
          <a:ext cx="867444" cy="246591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930" y="243416"/>
          <a:ext cx="398211" cy="196452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842" y="195792"/>
          <a:ext cx="809625" cy="29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12</xdr:col>
      <xdr:colOff>324</xdr:colOff>
      <xdr:row>1</xdr:row>
      <xdr:rowOff>74084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1" y="52918"/>
          <a:ext cx="1511623" cy="278341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5967" y="389467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6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09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9966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1175" y="1998133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996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13" y="3151717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8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0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732366</xdr:colOff>
      <xdr:row>1</xdr:row>
      <xdr:rowOff>63190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526414</xdr:colOff>
      <xdr:row>1</xdr:row>
      <xdr:rowOff>86118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0"/>
          <a:ext cx="1745614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371" y="415925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582083</xdr:colOff>
      <xdr:row>1</xdr:row>
      <xdr:rowOff>69711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0"/>
          <a:ext cx="582083" cy="3268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05852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240239</xdr:colOff>
      <xdr:row>0</xdr:row>
      <xdr:rowOff>52916</xdr:rowOff>
    </xdr:from>
    <xdr:to>
      <xdr:col>4</xdr:col>
      <xdr:colOff>505034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239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259292</xdr:colOff>
      <xdr:row>0</xdr:row>
      <xdr:rowOff>195791</xdr:rowOff>
    </xdr:from>
    <xdr:to>
      <xdr:col>6</xdr:col>
      <xdr:colOff>686959</xdr:colOff>
      <xdr:row>1</xdr:row>
      <xdr:rowOff>178469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5017" y="195791"/>
          <a:ext cx="427667" cy="239853"/>
        </a:xfrm>
        <a:prstGeom prst="rect">
          <a:avLst/>
        </a:prstGeom>
      </xdr:spPr>
    </xdr:pic>
    <xdr:clientData/>
  </xdr:twoCellAnchor>
  <xdr:twoCellAnchor editAs="oneCell">
    <xdr:from>
      <xdr:col>7</xdr:col>
      <xdr:colOff>29155</xdr:colOff>
      <xdr:row>0</xdr:row>
      <xdr:rowOff>243417</xdr:rowOff>
    </xdr:from>
    <xdr:to>
      <xdr:col>7</xdr:col>
      <xdr:colOff>896599</xdr:colOff>
      <xdr:row>2</xdr:row>
      <xdr:rowOff>42333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705" y="243417"/>
          <a:ext cx="867444" cy="246591"/>
        </a:xfrm>
        <a:prstGeom prst="rect">
          <a:avLst/>
        </a:prstGeom>
      </xdr:spPr>
    </xdr:pic>
    <xdr:clientData/>
  </xdr:twoCellAnchor>
  <xdr:twoCellAnchor editAs="oneCell">
    <xdr:from>
      <xdr:col>8</xdr:col>
      <xdr:colOff>273830</xdr:colOff>
      <xdr:row>0</xdr:row>
      <xdr:rowOff>243416</xdr:rowOff>
    </xdr:from>
    <xdr:to>
      <xdr:col>8</xdr:col>
      <xdr:colOff>672041</xdr:colOff>
      <xdr:row>1</xdr:row>
      <xdr:rowOff>182693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930" y="243416"/>
          <a:ext cx="398211" cy="196452"/>
        </a:xfrm>
        <a:prstGeom prst="rect">
          <a:avLst/>
        </a:prstGeom>
      </xdr:spPr>
    </xdr:pic>
    <xdr:clientData/>
  </xdr:twoCellAnchor>
  <xdr:twoCellAnchor editAs="oneCell">
    <xdr:from>
      <xdr:col>9</xdr:col>
      <xdr:colOff>5292</xdr:colOff>
      <xdr:row>0</xdr:row>
      <xdr:rowOff>195792</xdr:rowOff>
    </xdr:from>
    <xdr:to>
      <xdr:col>9</xdr:col>
      <xdr:colOff>814917</xdr:colOff>
      <xdr:row>2</xdr:row>
      <xdr:rowOff>42205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842" y="195792"/>
          <a:ext cx="809625" cy="29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31751</xdr:colOff>
      <xdr:row>0</xdr:row>
      <xdr:rowOff>52918</xdr:rowOff>
    </xdr:from>
    <xdr:to>
      <xdr:col>12</xdr:col>
      <xdr:colOff>324</xdr:colOff>
      <xdr:row>1</xdr:row>
      <xdr:rowOff>74084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1" y="52918"/>
          <a:ext cx="1511623" cy="278341"/>
        </a:xfrm>
        <a:prstGeom prst="rect">
          <a:avLst/>
        </a:prstGeom>
      </xdr:spPr>
    </xdr:pic>
    <xdr:clientData/>
  </xdr:twoCellAnchor>
  <xdr:twoCellAnchor editAs="oneCell">
    <xdr:from>
      <xdr:col>11</xdr:col>
      <xdr:colOff>52917</xdr:colOff>
      <xdr:row>1</xdr:row>
      <xdr:rowOff>132292</xdr:rowOff>
    </xdr:from>
    <xdr:to>
      <xdr:col>11</xdr:col>
      <xdr:colOff>1452516</xdr:colOff>
      <xdr:row>3</xdr:row>
      <xdr:rowOff>1909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5967" y="389467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0</xdr:rowOff>
    </xdr:from>
    <xdr:to>
      <xdr:col>10</xdr:col>
      <xdr:colOff>1644355</xdr:colOff>
      <xdr:row>7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6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236459</xdr:colOff>
      <xdr:row>8</xdr:row>
      <xdr:rowOff>37041</xdr:rowOff>
    </xdr:from>
    <xdr:to>
      <xdr:col>9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09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243416</xdr:colOff>
      <xdr:row>9</xdr:row>
      <xdr:rowOff>26459</xdr:rowOff>
    </xdr:from>
    <xdr:to>
      <xdr:col>9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9966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274625</xdr:colOff>
      <xdr:row>10</xdr:row>
      <xdr:rowOff>26458</xdr:rowOff>
    </xdr:from>
    <xdr:to>
      <xdr:col>9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1175" y="1998133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6</xdr:row>
      <xdr:rowOff>15875</xdr:rowOff>
    </xdr:from>
    <xdr:to>
      <xdr:col>13</xdr:col>
      <xdr:colOff>1</xdr:colOff>
      <xdr:row>7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996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16</xdr:row>
      <xdr:rowOff>37042</xdr:rowOff>
    </xdr:from>
    <xdr:to>
      <xdr:col>10</xdr:col>
      <xdr:colOff>578966</xdr:colOff>
      <xdr:row>17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13" y="3151717"/>
          <a:ext cx="260878" cy="153458"/>
        </a:xfrm>
        <a:prstGeom prst="rect">
          <a:avLst/>
        </a:prstGeom>
      </xdr:spPr>
    </xdr:pic>
    <xdr:clientData/>
  </xdr:twoCellAnchor>
  <xdr:twoCellAnchor editAs="oneCell">
    <xdr:from>
      <xdr:col>14</xdr:col>
      <xdr:colOff>158750</xdr:colOff>
      <xdr:row>0</xdr:row>
      <xdr:rowOff>10583</xdr:rowOff>
    </xdr:from>
    <xdr:to>
      <xdr:col>14</xdr:col>
      <xdr:colOff>580985</xdr:colOff>
      <xdr:row>1</xdr:row>
      <xdr:rowOff>1058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8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575145</xdr:colOff>
      <xdr:row>1</xdr:row>
      <xdr:rowOff>49741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43692</xdr:colOff>
      <xdr:row>0</xdr:row>
      <xdr:rowOff>220135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0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732366</xdr:colOff>
      <xdr:row>1</xdr:row>
      <xdr:rowOff>63190</xdr:rowOff>
    </xdr:to>
    <xdr:pic>
      <xdr:nvPicPr>
        <xdr:cNvPr id="21" name="Obrázok 2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21</xdr:col>
      <xdr:colOff>526414</xdr:colOff>
      <xdr:row>1</xdr:row>
      <xdr:rowOff>86118</xdr:rowOff>
    </xdr:to>
    <xdr:pic>
      <xdr:nvPicPr>
        <xdr:cNvPr id="22" name="Obrázok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0"/>
          <a:ext cx="1745614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324146</xdr:colOff>
      <xdr:row>1</xdr:row>
      <xdr:rowOff>158750</xdr:rowOff>
    </xdr:from>
    <xdr:to>
      <xdr:col>10</xdr:col>
      <xdr:colOff>1158875</xdr:colOff>
      <xdr:row>3</xdr:row>
      <xdr:rowOff>47625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371" y="415925"/>
          <a:ext cx="834729" cy="269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582083</xdr:colOff>
      <xdr:row>1</xdr:row>
      <xdr:rowOff>69711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0"/>
          <a:ext cx="582083" cy="3268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027747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4739" y="497416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363" y="733140"/>
          <a:ext cx="754012" cy="216186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621" y="495299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67" y="613834"/>
          <a:ext cx="809625" cy="296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1</xdr:row>
      <xdr:rowOff>370416</xdr:rowOff>
    </xdr:from>
    <xdr:to>
      <xdr:col>12</xdr:col>
      <xdr:colOff>5614</xdr:colOff>
      <xdr:row>3</xdr:row>
      <xdr:rowOff>49741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041" y="629708"/>
          <a:ext cx="1513739" cy="280458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2" y="926041"/>
          <a:ext cx="1399599" cy="250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6" y="1209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01" y="1617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1812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542" y="2003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8916" y="1225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2263" y="3151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3767666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3767666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4647272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4647272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5509814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5509814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6492875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6492875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BlokTextu 22"/>
            <xdr:cNvSpPr txBox="1"/>
          </xdr:nvSpPr>
          <xdr:spPr>
            <a:xfrm>
              <a:off x="7318902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3" name="BlokTextu 22"/>
            <xdr:cNvSpPr txBox="1"/>
          </xdr:nvSpPr>
          <xdr:spPr>
            <a:xfrm>
              <a:off x="7318902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BlokTextu 23"/>
            <xdr:cNvSpPr txBox="1"/>
          </xdr:nvSpPr>
          <xdr:spPr>
            <a:xfrm>
              <a:off x="8543263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4" name="BlokTextu 23"/>
            <xdr:cNvSpPr txBox="1"/>
          </xdr:nvSpPr>
          <xdr:spPr>
            <a:xfrm>
              <a:off x="8543263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31" name="Obrázok 3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680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32" name="Obrázok 3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33" name="Obrázok 32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0" y="0"/>
          <a:ext cx="691392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34" name="Obrázok 33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0"/>
          <a:ext cx="733424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35" name="Obrázok 3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9750" y="10583"/>
          <a:ext cx="1743498" cy="34541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533472</xdr:colOff>
      <xdr:row>3</xdr:row>
      <xdr:rowOff>21167</xdr:rowOff>
    </xdr:from>
    <xdr:to>
      <xdr:col>10</xdr:col>
      <xdr:colOff>1270000</xdr:colOff>
      <xdr:row>4</xdr:row>
      <xdr:rowOff>10584</xdr:rowOff>
    </xdr:to>
    <xdr:pic>
      <xdr:nvPicPr>
        <xdr:cNvPr id="36" name="Obrázok 3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555" y="719667"/>
          <a:ext cx="736528" cy="238125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333" y="0"/>
          <a:ext cx="582083" cy="3290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363325" y="29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681" y="493183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421" y="729965"/>
          <a:ext cx="754012" cy="215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354" y="49106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517" y="468842"/>
          <a:ext cx="807509" cy="295147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1</xdr:row>
      <xdr:rowOff>370416</xdr:rowOff>
    </xdr:from>
    <xdr:to>
      <xdr:col>12</xdr:col>
      <xdr:colOff>5614</xdr:colOff>
      <xdr:row>3</xdr:row>
      <xdr:rowOff>49741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4891" y="465666"/>
          <a:ext cx="1511623" cy="27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352" y="753533"/>
          <a:ext cx="1399599" cy="24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1590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51" y="1998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" y="2193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392" y="2384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766" y="1606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13" y="3532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0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0"/>
          <a:ext cx="688217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2375" y="10583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533472</xdr:colOff>
      <xdr:row>3</xdr:row>
      <xdr:rowOff>21167</xdr:rowOff>
    </xdr:from>
    <xdr:to>
      <xdr:col>10</xdr:col>
      <xdr:colOff>1270000</xdr:colOff>
      <xdr:row>4</xdr:row>
      <xdr:rowOff>10584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97" y="716492"/>
          <a:ext cx="736528" cy="237067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216" y="0"/>
          <a:ext cx="579967" cy="3268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363325" y="29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681" y="493183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421" y="729965"/>
          <a:ext cx="754012" cy="215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354" y="49106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517" y="468842"/>
          <a:ext cx="807509" cy="295147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1</xdr:row>
      <xdr:rowOff>370416</xdr:rowOff>
    </xdr:from>
    <xdr:to>
      <xdr:col>12</xdr:col>
      <xdr:colOff>5614</xdr:colOff>
      <xdr:row>3</xdr:row>
      <xdr:rowOff>49741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4891" y="465666"/>
          <a:ext cx="1511623" cy="27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352" y="753533"/>
          <a:ext cx="1399599" cy="24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1590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51" y="1998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" y="2193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392" y="2384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766" y="1606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13" y="3532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0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0"/>
          <a:ext cx="688217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2375" y="10583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533472</xdr:colOff>
      <xdr:row>3</xdr:row>
      <xdr:rowOff>21167</xdr:rowOff>
    </xdr:from>
    <xdr:to>
      <xdr:col>10</xdr:col>
      <xdr:colOff>1270000</xdr:colOff>
      <xdr:row>4</xdr:row>
      <xdr:rowOff>10584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97" y="716492"/>
          <a:ext cx="736528" cy="237067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216" y="0"/>
          <a:ext cx="579967" cy="3268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363325" y="29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681" y="493183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421" y="729965"/>
          <a:ext cx="754012" cy="215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354" y="49106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517" y="468842"/>
          <a:ext cx="807509" cy="295147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1</xdr:row>
      <xdr:rowOff>370416</xdr:rowOff>
    </xdr:from>
    <xdr:to>
      <xdr:col>12</xdr:col>
      <xdr:colOff>5614</xdr:colOff>
      <xdr:row>3</xdr:row>
      <xdr:rowOff>49741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4891" y="465666"/>
          <a:ext cx="1511623" cy="27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352" y="753533"/>
          <a:ext cx="1399599" cy="24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1590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51" y="1998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" y="2193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392" y="2384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766" y="1606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13" y="3532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BlokTextu 17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8" name="BlokTextu 17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BlokTextu 22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3" name="BlokTextu 22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0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0"/>
          <a:ext cx="688217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6575" y="10583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449791</xdr:colOff>
      <xdr:row>3</xdr:row>
      <xdr:rowOff>5293</xdr:rowOff>
    </xdr:from>
    <xdr:to>
      <xdr:col>10</xdr:col>
      <xdr:colOff>1279878</xdr:colOff>
      <xdr:row>4</xdr:row>
      <xdr:rowOff>24959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0874" y="703793"/>
          <a:ext cx="830087" cy="268374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30" name="Obrázok 2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333" y="0"/>
          <a:ext cx="582083" cy="3290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363325" y="29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681" y="493183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421" y="729965"/>
          <a:ext cx="754012" cy="215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354" y="49106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517" y="468842"/>
          <a:ext cx="807509" cy="295147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2</xdr:row>
      <xdr:rowOff>12700</xdr:rowOff>
    </xdr:from>
    <xdr:to>
      <xdr:col>12</xdr:col>
      <xdr:colOff>5614</xdr:colOff>
      <xdr:row>3</xdr:row>
      <xdr:rowOff>65616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3833" y="483658"/>
          <a:ext cx="1513739" cy="280458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352" y="753533"/>
          <a:ext cx="1399599" cy="24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1590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51" y="1998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" y="2193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392" y="2384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766" y="1606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13" y="3532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0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0"/>
          <a:ext cx="688217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2375" y="10583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449791</xdr:colOff>
      <xdr:row>3</xdr:row>
      <xdr:rowOff>5293</xdr:rowOff>
    </xdr:from>
    <xdr:to>
      <xdr:col>10</xdr:col>
      <xdr:colOff>1279878</xdr:colOff>
      <xdr:row>4</xdr:row>
      <xdr:rowOff>24959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816" y="700618"/>
          <a:ext cx="830087" cy="267316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216" y="0"/>
          <a:ext cx="579967" cy="3268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2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63817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13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363325" y="29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2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523999" y="63592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6</xdr:col>
      <xdr:colOff>333156</xdr:colOff>
      <xdr:row>2</xdr:row>
      <xdr:rowOff>26458</xdr:rowOff>
    </xdr:from>
    <xdr:to>
      <xdr:col>6</xdr:col>
      <xdr:colOff>660501</xdr:colOff>
      <xdr:row>2</xdr:row>
      <xdr:rowOff>211667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681" y="493183"/>
          <a:ext cx="327345" cy="1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82071</xdr:colOff>
      <xdr:row>3</xdr:row>
      <xdr:rowOff>34640</xdr:rowOff>
    </xdr:from>
    <xdr:to>
      <xdr:col>7</xdr:col>
      <xdr:colOff>836083</xdr:colOff>
      <xdr:row>4</xdr:row>
      <xdr:rowOff>2118</xdr:rowOff>
    </xdr:to>
    <xdr:pic>
      <xdr:nvPicPr>
        <xdr:cNvPr id="6" name="Obrázo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421" y="729965"/>
          <a:ext cx="754012" cy="215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321454</xdr:colOff>
      <xdr:row>2</xdr:row>
      <xdr:rowOff>24341</xdr:rowOff>
    </xdr:from>
    <xdr:to>
      <xdr:col>8</xdr:col>
      <xdr:colOff>719665</xdr:colOff>
      <xdr:row>2</xdr:row>
      <xdr:rowOff>222910</xdr:rowOff>
    </xdr:to>
    <xdr:pic>
      <xdr:nvPicPr>
        <xdr:cNvPr id="7" name="Obrázo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354" y="491066"/>
          <a:ext cx="398211" cy="198569"/>
        </a:xfrm>
        <a:prstGeom prst="rect">
          <a:avLst/>
        </a:prstGeom>
      </xdr:spPr>
    </xdr:pic>
    <xdr:clientData/>
  </xdr:twoCellAnchor>
  <xdr:twoCellAnchor editAs="oneCell">
    <xdr:from>
      <xdr:col>9</xdr:col>
      <xdr:colOff>21167</xdr:colOff>
      <xdr:row>1</xdr:row>
      <xdr:rowOff>354542</xdr:rowOff>
    </xdr:from>
    <xdr:to>
      <xdr:col>10</xdr:col>
      <xdr:colOff>1</xdr:colOff>
      <xdr:row>3</xdr:row>
      <xdr:rowOff>68664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2517" y="468842"/>
          <a:ext cx="807509" cy="295147"/>
        </a:xfrm>
        <a:prstGeom prst="rect">
          <a:avLst/>
        </a:prstGeom>
      </xdr:spPr>
    </xdr:pic>
    <xdr:clientData/>
  </xdr:twoCellAnchor>
  <xdr:twoCellAnchor editAs="oneCell">
    <xdr:from>
      <xdr:col>11</xdr:col>
      <xdr:colOff>37041</xdr:colOff>
      <xdr:row>1</xdr:row>
      <xdr:rowOff>370416</xdr:rowOff>
    </xdr:from>
    <xdr:to>
      <xdr:col>12</xdr:col>
      <xdr:colOff>5614</xdr:colOff>
      <xdr:row>3</xdr:row>
      <xdr:rowOff>49741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4891" y="465666"/>
          <a:ext cx="1511623" cy="27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63502</xdr:colOff>
      <xdr:row>3</xdr:row>
      <xdr:rowOff>58208</xdr:rowOff>
    </xdr:from>
    <xdr:to>
      <xdr:col>11</xdr:col>
      <xdr:colOff>1463101</xdr:colOff>
      <xdr:row>4</xdr:row>
      <xdr:rowOff>60117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352" y="753533"/>
          <a:ext cx="1399599" cy="24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</xdr:row>
      <xdr:rowOff>0</xdr:rowOff>
    </xdr:from>
    <xdr:to>
      <xdr:col>10</xdr:col>
      <xdr:colOff>1644355</xdr:colOff>
      <xdr:row>8</xdr:row>
      <xdr:rowOff>169333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1590675"/>
          <a:ext cx="1644354" cy="359833"/>
        </a:xfrm>
        <a:prstGeom prst="rect">
          <a:avLst/>
        </a:prstGeom>
      </xdr:spPr>
    </xdr:pic>
    <xdr:clientData/>
  </xdr:twoCellAnchor>
  <xdr:twoCellAnchor editAs="oneCell">
    <xdr:from>
      <xdr:col>9</xdr:col>
      <xdr:colOff>527501</xdr:colOff>
      <xdr:row>9</xdr:row>
      <xdr:rowOff>26458</xdr:rowOff>
    </xdr:from>
    <xdr:to>
      <xdr:col>9</xdr:col>
      <xdr:colOff>694304</xdr:colOff>
      <xdr:row>9</xdr:row>
      <xdr:rowOff>158750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51" y="1998133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508000</xdr:colOff>
      <xdr:row>10</xdr:row>
      <xdr:rowOff>31750</xdr:rowOff>
    </xdr:from>
    <xdr:to>
      <xdr:col>9</xdr:col>
      <xdr:colOff>746125</xdr:colOff>
      <xdr:row>10</xdr:row>
      <xdr:rowOff>181873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" y="2193925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9</xdr:col>
      <xdr:colOff>518042</xdr:colOff>
      <xdr:row>11</xdr:row>
      <xdr:rowOff>31749</xdr:rowOff>
    </xdr:from>
    <xdr:to>
      <xdr:col>9</xdr:col>
      <xdr:colOff>640292</xdr:colOff>
      <xdr:row>11</xdr:row>
      <xdr:rowOff>181069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9392" y="2384424"/>
          <a:ext cx="122250" cy="149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306916</xdr:colOff>
      <xdr:row>7</xdr:row>
      <xdr:rowOff>15875</xdr:rowOff>
    </xdr:from>
    <xdr:to>
      <xdr:col>13</xdr:col>
      <xdr:colOff>1</xdr:colOff>
      <xdr:row>8</xdr:row>
      <xdr:rowOff>147686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766" y="1606550"/>
          <a:ext cx="1769535" cy="322311"/>
        </a:xfrm>
        <a:prstGeom prst="rect">
          <a:avLst/>
        </a:prstGeom>
      </xdr:spPr>
    </xdr:pic>
    <xdr:clientData/>
  </xdr:twoCellAnchor>
  <xdr:twoCellAnchor editAs="oneCell">
    <xdr:from>
      <xdr:col>10</xdr:col>
      <xdr:colOff>318088</xdr:colOff>
      <xdr:row>17</xdr:row>
      <xdr:rowOff>37042</xdr:rowOff>
    </xdr:from>
    <xdr:to>
      <xdr:col>10</xdr:col>
      <xdr:colOff>578966</xdr:colOff>
      <xdr:row>18</xdr:row>
      <xdr:rowOff>0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13" y="3532717"/>
          <a:ext cx="260878" cy="153458"/>
        </a:xfrm>
        <a:prstGeom prst="rect">
          <a:avLst/>
        </a:prstGeom>
      </xdr:spPr>
    </xdr:pic>
    <xdr:clientData/>
  </xdr:twoCellAnchor>
  <xdr:oneCellAnchor>
    <xdr:from>
      <xdr:col>5</xdr:col>
      <xdr:colOff>396874</xdr:colOff>
      <xdr:row>0</xdr:row>
      <xdr:rowOff>21167</xdr:rowOff>
    </xdr:from>
    <xdr:ext cx="166357" cy="201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7" name="BlokTextu 16"/>
            <xdr:cNvSpPr txBox="1"/>
          </xdr:nvSpPr>
          <xdr:spPr>
            <a:xfrm>
              <a:off x="3768724" y="21167"/>
              <a:ext cx="166357" cy="201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0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6</xdr:col>
      <xdr:colOff>445689</xdr:colOff>
      <xdr:row>0</xdr:row>
      <xdr:rowOff>49476</xdr:rowOff>
    </xdr:from>
    <xdr:ext cx="170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8" name="BlokTextu 17"/>
            <xdr:cNvSpPr txBox="1"/>
          </xdr:nvSpPr>
          <xdr:spPr>
            <a:xfrm>
              <a:off x="4646214" y="49476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7</xdr:col>
      <xdr:colOff>424522</xdr:colOff>
      <xdr:row>0</xdr:row>
      <xdr:rowOff>38232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19" name="BlokTextu 18"/>
            <xdr:cNvSpPr txBox="1"/>
          </xdr:nvSpPr>
          <xdr:spPr>
            <a:xfrm>
              <a:off x="5510872" y="38232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8</xdr:col>
      <xdr:colOff>433917</xdr:colOff>
      <xdr:row>0</xdr:row>
      <xdr:rowOff>30295</xdr:rowOff>
    </xdr:from>
    <xdr:ext cx="213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0" name="BlokTextu 19"/>
            <xdr:cNvSpPr txBox="1"/>
          </xdr:nvSpPr>
          <xdr:spPr>
            <a:xfrm>
              <a:off x="6491817" y="30295"/>
              <a:ext cx="213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sk-SK" sz="1100" b="0" i="0">
                  <a:latin typeface="Cambria Math" panose="02040503050406030204" pitchFamily="18" charset="0"/>
                </a:rPr>
                <a:t>3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9</xdr:col>
      <xdr:colOff>328610</xdr:colOff>
      <xdr:row>0</xdr:row>
      <xdr:rowOff>42862</xdr:rowOff>
    </xdr:from>
    <xdr:ext cx="1586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1" name="BlokTextu 20"/>
            <xdr:cNvSpPr txBox="1"/>
          </xdr:nvSpPr>
          <xdr:spPr>
            <a:xfrm>
              <a:off x="7319960" y="42862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1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722180</xdr:colOff>
      <xdr:row>0</xdr:row>
      <xdr:rowOff>25664</xdr:rowOff>
    </xdr:from>
    <xdr:ext cx="161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2" name="BlokTextu 21"/>
            <xdr:cNvSpPr txBox="1"/>
          </xdr:nvSpPr>
          <xdr:spPr>
            <a:xfrm>
              <a:off x="8542205" y="25664"/>
              <a:ext cx="161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sk-SK" sz="1100" b="0" i="0">
                  <a:latin typeface="Cambria Math" panose="02040503050406030204" pitchFamily="18" charset="0"/>
                </a:rPr>
                <a:t>2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13</xdr:col>
      <xdr:colOff>158750</xdr:colOff>
      <xdr:row>0</xdr:row>
      <xdr:rowOff>10583</xdr:rowOff>
    </xdr:from>
    <xdr:to>
      <xdr:col>13</xdr:col>
      <xdr:colOff>580985</xdr:colOff>
      <xdr:row>1</xdr:row>
      <xdr:rowOff>1058</xdr:rowOff>
    </xdr:to>
    <xdr:pic>
      <xdr:nvPicPr>
        <xdr:cNvPr id="23" name="Obrázok 2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3050" y="10583"/>
          <a:ext cx="422235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575145</xdr:colOff>
      <xdr:row>1</xdr:row>
      <xdr:rowOff>49741</xdr:rowOff>
    </xdr:to>
    <xdr:pic>
      <xdr:nvPicPr>
        <xdr:cNvPr id="24" name="Obrázok 2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0"/>
          <a:ext cx="575145" cy="30691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2417</xdr:colOff>
      <xdr:row>0</xdr:row>
      <xdr:rowOff>220135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0" y="0"/>
          <a:ext cx="688217" cy="22013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732366</xdr:colOff>
      <xdr:row>1</xdr:row>
      <xdr:rowOff>63190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900" y="0"/>
          <a:ext cx="732366" cy="3203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10583</xdr:rowOff>
    </xdr:from>
    <xdr:to>
      <xdr:col>20</xdr:col>
      <xdr:colOff>526415</xdr:colOff>
      <xdr:row>1</xdr:row>
      <xdr:rowOff>96701</xdr:rowOff>
    </xdr:to>
    <xdr:pic>
      <xdr:nvPicPr>
        <xdr:cNvPr id="27" name="Obrázok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2375" y="10583"/>
          <a:ext cx="1745615" cy="343293"/>
        </a:xfrm>
        <a:prstGeom prst="rect">
          <a:avLst/>
        </a:prstGeom>
      </xdr:spPr>
    </xdr:pic>
    <xdr:clientData/>
  </xdr:twoCellAnchor>
  <xdr:twoCellAnchor editAs="oneCell">
    <xdr:from>
      <xdr:col>10</xdr:col>
      <xdr:colOff>449791</xdr:colOff>
      <xdr:row>3</xdr:row>
      <xdr:rowOff>5293</xdr:rowOff>
    </xdr:from>
    <xdr:to>
      <xdr:col>10</xdr:col>
      <xdr:colOff>1279878</xdr:colOff>
      <xdr:row>4</xdr:row>
      <xdr:rowOff>24959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816" y="700618"/>
          <a:ext cx="830087" cy="267316"/>
        </a:xfrm>
        <a:prstGeom prst="rect">
          <a:avLst/>
        </a:prstGeom>
      </xdr:spPr>
    </xdr:pic>
    <xdr:clientData/>
  </xdr:twoCellAnchor>
  <xdr:twoCellAnchor editAs="oneCell">
    <xdr:from>
      <xdr:col>15</xdr:col>
      <xdr:colOff>687916</xdr:colOff>
      <xdr:row>0</xdr:row>
      <xdr:rowOff>0</xdr:rowOff>
    </xdr:from>
    <xdr:to>
      <xdr:col>16</xdr:col>
      <xdr:colOff>582083</xdr:colOff>
      <xdr:row>1</xdr:row>
      <xdr:rowOff>69711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216" y="0"/>
          <a:ext cx="579967" cy="32688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286125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286125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2539365" y="3278505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2539365" y="3278505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3564255" y="3270885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3564255" y="3270885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7857470" y="3282315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7811750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15</xdr:col>
      <xdr:colOff>412751</xdr:colOff>
      <xdr:row>10</xdr:row>
      <xdr:rowOff>41275</xdr:rowOff>
    </xdr:from>
    <xdr:to>
      <xdr:col>15</xdr:col>
      <xdr:colOff>1314450</xdr:colOff>
      <xdr:row>10</xdr:row>
      <xdr:rowOff>397209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9826" y="3213100"/>
          <a:ext cx="901699" cy="355934"/>
        </a:xfrm>
        <a:prstGeom prst="rect">
          <a:avLst/>
        </a:prstGeom>
      </xdr:spPr>
    </xdr:pic>
    <xdr:clientData/>
  </xdr:two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222626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200400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30" name="Obrázok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228975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184525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25" name="Obrázok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232151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26" name="Obrázok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4" name="Graf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5" name="Graf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1695450</xdr:colOff>
      <xdr:row>1</xdr:row>
      <xdr:rowOff>123825</xdr:rowOff>
    </xdr:from>
    <xdr:to>
      <xdr:col>0</xdr:col>
      <xdr:colOff>2562894</xdr:colOff>
      <xdr:row>1</xdr:row>
      <xdr:rowOff>372533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447675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1866900</xdr:colOff>
      <xdr:row>5</xdr:row>
      <xdr:rowOff>28575</xdr:rowOff>
    </xdr:from>
    <xdr:to>
      <xdr:col>0</xdr:col>
      <xdr:colOff>2353802</xdr:colOff>
      <xdr:row>5</xdr:row>
      <xdr:rowOff>408570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895475"/>
          <a:ext cx="486902" cy="37999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15</xdr:col>
      <xdr:colOff>412751</xdr:colOff>
      <xdr:row>10</xdr:row>
      <xdr:rowOff>41275</xdr:rowOff>
    </xdr:from>
    <xdr:to>
      <xdr:col>15</xdr:col>
      <xdr:colOff>1314450</xdr:colOff>
      <xdr:row>10</xdr:row>
      <xdr:rowOff>397209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9826" y="3489325"/>
          <a:ext cx="901699" cy="355934"/>
        </a:xfrm>
        <a:prstGeom prst="rect">
          <a:avLst/>
        </a:prstGeom>
      </xdr:spPr>
    </xdr:pic>
    <xdr:clientData/>
  </xdr:two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7" name="Graf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8" name="Graf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1676400</xdr:colOff>
      <xdr:row>1</xdr:row>
      <xdr:rowOff>76200</xdr:rowOff>
    </xdr:from>
    <xdr:to>
      <xdr:col>0</xdr:col>
      <xdr:colOff>2543844</xdr:colOff>
      <xdr:row>1</xdr:row>
      <xdr:rowOff>324908</xdr:rowOff>
    </xdr:to>
    <xdr:pic>
      <xdr:nvPicPr>
        <xdr:cNvPr id="19" name="Obrázok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00050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20" name="Obrázok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15</xdr:col>
      <xdr:colOff>412751</xdr:colOff>
      <xdr:row>10</xdr:row>
      <xdr:rowOff>41275</xdr:rowOff>
    </xdr:from>
    <xdr:to>
      <xdr:col>15</xdr:col>
      <xdr:colOff>1314450</xdr:colOff>
      <xdr:row>10</xdr:row>
      <xdr:rowOff>397209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9826" y="3489325"/>
          <a:ext cx="901699" cy="355934"/>
        </a:xfrm>
        <a:prstGeom prst="rect">
          <a:avLst/>
        </a:prstGeom>
      </xdr:spPr>
    </xdr:pic>
    <xdr:clientData/>
  </xdr:two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1676400</xdr:colOff>
      <xdr:row>1</xdr:row>
      <xdr:rowOff>76200</xdr:rowOff>
    </xdr:from>
    <xdr:to>
      <xdr:col>0</xdr:col>
      <xdr:colOff>2543844</xdr:colOff>
      <xdr:row>1</xdr:row>
      <xdr:rowOff>324908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00050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15</xdr:col>
      <xdr:colOff>412751</xdr:colOff>
      <xdr:row>10</xdr:row>
      <xdr:rowOff>41275</xdr:rowOff>
    </xdr:from>
    <xdr:to>
      <xdr:col>15</xdr:col>
      <xdr:colOff>1314450</xdr:colOff>
      <xdr:row>10</xdr:row>
      <xdr:rowOff>397209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9826" y="3489325"/>
          <a:ext cx="901699" cy="355934"/>
        </a:xfrm>
        <a:prstGeom prst="rect">
          <a:avLst/>
        </a:prstGeom>
      </xdr:spPr>
    </xdr:pic>
    <xdr:clientData/>
  </xdr:two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1676400</xdr:colOff>
      <xdr:row>1</xdr:row>
      <xdr:rowOff>76200</xdr:rowOff>
    </xdr:from>
    <xdr:to>
      <xdr:col>0</xdr:col>
      <xdr:colOff>2543844</xdr:colOff>
      <xdr:row>1</xdr:row>
      <xdr:rowOff>324908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00050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1866900</xdr:colOff>
      <xdr:row>5</xdr:row>
      <xdr:rowOff>28575</xdr:rowOff>
    </xdr:from>
    <xdr:to>
      <xdr:col>0</xdr:col>
      <xdr:colOff>2353802</xdr:colOff>
      <xdr:row>5</xdr:row>
      <xdr:rowOff>408570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895475"/>
          <a:ext cx="486902" cy="37999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1676400</xdr:colOff>
      <xdr:row>1</xdr:row>
      <xdr:rowOff>76200</xdr:rowOff>
    </xdr:from>
    <xdr:to>
      <xdr:col>0</xdr:col>
      <xdr:colOff>2543844</xdr:colOff>
      <xdr:row>1</xdr:row>
      <xdr:rowOff>324908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00050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10</xdr:row>
      <xdr:rowOff>114300</xdr:rowOff>
    </xdr:from>
    <xdr:ext cx="12137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k-SK" sz="12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320040" y="3562350"/>
              <a:ext cx="12137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2</xdr:col>
      <xdr:colOff>548640</xdr:colOff>
      <xdr:row>10</xdr:row>
      <xdr:rowOff>106680</xdr:rowOff>
    </xdr:from>
    <xdr:ext cx="22098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3968115" y="3554730"/>
              <a:ext cx="22098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𝑞_𝑥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3</xdr:col>
      <xdr:colOff>335280</xdr:colOff>
      <xdr:row>10</xdr:row>
      <xdr:rowOff>99060</xdr:rowOff>
    </xdr:from>
    <xdr:ext cx="19037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2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4993005" y="3547110"/>
              <a:ext cx="19037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200" b="0" i="0">
                  <a:latin typeface="Cambria Math" panose="02040503050406030204" pitchFamily="18" charset="0"/>
                </a:rPr>
                <a:t>𝑝_𝑥</a:t>
              </a:r>
              <a:endParaRPr lang="sk-SK" sz="1200"/>
            </a:p>
          </xdr:txBody>
        </xdr:sp>
      </mc:Fallback>
    </mc:AlternateContent>
    <xdr:clientData/>
  </xdr:oneCellAnchor>
  <xdr:oneCellAnchor>
    <xdr:from>
      <xdr:col>15</xdr:col>
      <xdr:colOff>45720</xdr:colOff>
      <xdr:row>10</xdr:row>
      <xdr:rowOff>110490</xdr:rowOff>
    </xdr:from>
    <xdr:ext cx="65" cy="187872"/>
    <xdr:sp macro="" textlink="">
      <xdr:nvSpPr>
        <xdr:cNvPr id="5" name="BlokTextu 4"/>
        <xdr:cNvSpPr txBox="1"/>
      </xdr:nvSpPr>
      <xdr:spPr>
        <a:xfrm>
          <a:off x="18552795" y="355854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200"/>
        </a:p>
      </xdr:txBody>
    </xdr:sp>
    <xdr:clientData/>
  </xdr:oneCellAnchor>
  <xdr:oneCellAnchor>
    <xdr:from>
      <xdr:col>0</xdr:col>
      <xdr:colOff>121920</xdr:colOff>
      <xdr:row>5</xdr:row>
      <xdr:rowOff>87630</xdr:rowOff>
    </xdr:from>
    <xdr:ext cx="65" cy="172227"/>
    <xdr:sp macro="" textlink="">
      <xdr:nvSpPr>
        <xdr:cNvPr id="6" name="BlokTextu 5"/>
        <xdr:cNvSpPr txBox="1"/>
      </xdr:nvSpPr>
      <xdr:spPr>
        <a:xfrm>
          <a:off x="121920" y="1954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 b="0"/>
        </a:p>
      </xdr:txBody>
    </xdr:sp>
    <xdr:clientData/>
  </xdr:oneCellAnchor>
  <xdr:oneCellAnchor>
    <xdr:from>
      <xdr:col>15</xdr:col>
      <xdr:colOff>0</xdr:colOff>
      <xdr:row>4</xdr:row>
      <xdr:rowOff>0</xdr:rowOff>
    </xdr:from>
    <xdr:ext cx="65" cy="172227"/>
    <xdr:sp macro="" textlink="">
      <xdr:nvSpPr>
        <xdr:cNvPr id="7" name="BlokTextu 6"/>
        <xdr:cNvSpPr txBox="1"/>
      </xdr:nvSpPr>
      <xdr:spPr>
        <a:xfrm>
          <a:off x="18507075" y="160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twoCellAnchor editAs="oneCell">
    <xdr:from>
      <xdr:col>10</xdr:col>
      <xdr:colOff>128231</xdr:colOff>
      <xdr:row>10</xdr:row>
      <xdr:rowOff>50801</xdr:rowOff>
    </xdr:from>
    <xdr:to>
      <xdr:col>10</xdr:col>
      <xdr:colOff>1041474</xdr:colOff>
      <xdr:row>10</xdr:row>
      <xdr:rowOff>409575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681" y="3498851"/>
          <a:ext cx="913243" cy="3587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148604</xdr:colOff>
      <xdr:row>10</xdr:row>
      <xdr:rowOff>28575</xdr:rowOff>
    </xdr:from>
    <xdr:to>
      <xdr:col>11</xdr:col>
      <xdr:colOff>1335418</xdr:colOff>
      <xdr:row>10</xdr:row>
      <xdr:rowOff>428625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3579" y="3476625"/>
          <a:ext cx="1186814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10</xdr:row>
      <xdr:rowOff>57150</xdr:rowOff>
    </xdr:from>
    <xdr:to>
      <xdr:col>18</xdr:col>
      <xdr:colOff>866775</xdr:colOff>
      <xdr:row>10</xdr:row>
      <xdr:rowOff>421901</xdr:rowOff>
    </xdr:to>
    <xdr:pic>
      <xdr:nvPicPr>
        <xdr:cNvPr id="11" name="Obrázok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925" y="3505200"/>
          <a:ext cx="600075" cy="3647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450851</xdr:colOff>
      <xdr:row>10</xdr:row>
      <xdr:rowOff>12700</xdr:rowOff>
    </xdr:from>
    <xdr:to>
      <xdr:col>16</xdr:col>
      <xdr:colOff>1822642</xdr:colOff>
      <xdr:row>10</xdr:row>
      <xdr:rowOff>431858</xdr:rowOff>
    </xdr:to>
    <xdr:pic>
      <xdr:nvPicPr>
        <xdr:cNvPr id="12" name="Obrázok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326" y="3460750"/>
          <a:ext cx="1371791" cy="419158"/>
        </a:xfrm>
        <a:prstGeom prst="rect">
          <a:avLst/>
        </a:prstGeom>
      </xdr:spPr>
    </xdr:pic>
    <xdr:clientData/>
  </xdr:twoCellAnchor>
  <xdr:twoCellAnchor editAs="oneCell">
    <xdr:from>
      <xdr:col>17</xdr:col>
      <xdr:colOff>584201</xdr:colOff>
      <xdr:row>10</xdr:row>
      <xdr:rowOff>60326</xdr:rowOff>
    </xdr:from>
    <xdr:to>
      <xdr:col>17</xdr:col>
      <xdr:colOff>1374886</xdr:colOff>
      <xdr:row>11</xdr:row>
      <xdr:rowOff>3229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1726" y="3508376"/>
          <a:ext cx="790685" cy="381053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</xdr:colOff>
      <xdr:row>1</xdr:row>
      <xdr:rowOff>107950</xdr:rowOff>
    </xdr:from>
    <xdr:to>
      <xdr:col>24</xdr:col>
      <xdr:colOff>374956</xdr:colOff>
      <xdr:row>2</xdr:row>
      <xdr:rowOff>31805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5600" y="431800"/>
          <a:ext cx="2191056" cy="39058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56</xdr:row>
      <xdr:rowOff>161925</xdr:rowOff>
    </xdr:from>
    <xdr:to>
      <xdr:col>16</xdr:col>
      <xdr:colOff>1181100</xdr:colOff>
      <xdr:row>71</xdr:row>
      <xdr:rowOff>47625</xdr:rowOff>
    </xdr:to>
    <xdr:graphicFrame macro="">
      <xdr:nvGraphicFramePr>
        <xdr:cNvPr id="15" name="Graf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571500</xdr:colOff>
      <xdr:row>56</xdr:row>
      <xdr:rowOff>28575</xdr:rowOff>
    </xdr:from>
    <xdr:to>
      <xdr:col>14</xdr:col>
      <xdr:colOff>0</xdr:colOff>
      <xdr:row>70</xdr:row>
      <xdr:rowOff>104775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1676400</xdr:colOff>
      <xdr:row>1</xdr:row>
      <xdr:rowOff>76200</xdr:rowOff>
    </xdr:from>
    <xdr:to>
      <xdr:col>0</xdr:col>
      <xdr:colOff>2543844</xdr:colOff>
      <xdr:row>1</xdr:row>
      <xdr:rowOff>324908</xdr:rowOff>
    </xdr:to>
    <xdr:pic>
      <xdr:nvPicPr>
        <xdr:cNvPr id="17" name="Obrázok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00050"/>
          <a:ext cx="867444" cy="248708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2047875</xdr:colOff>
      <xdr:row>5</xdr:row>
      <xdr:rowOff>47625</xdr:rowOff>
    </xdr:from>
    <xdr:to>
      <xdr:col>0</xdr:col>
      <xdr:colOff>2534777</xdr:colOff>
      <xdr:row>5</xdr:row>
      <xdr:rowOff>381000</xdr:rowOff>
    </xdr:to>
    <xdr:pic>
      <xdr:nvPicPr>
        <xdr:cNvPr id="18" name="Obrázok 1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1914525"/>
          <a:ext cx="486902" cy="33337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171450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" name="BlokTextu 1"/>
            <xdr:cNvSpPr txBox="1"/>
          </xdr:nvSpPr>
          <xdr:spPr>
            <a:xfrm>
              <a:off x="1076325" y="428625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𝑞_𝑥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13</xdr:col>
      <xdr:colOff>352425</xdr:colOff>
      <xdr:row>12</xdr:row>
      <xdr:rowOff>171450</xdr:rowOff>
    </xdr:from>
    <xdr:ext cx="65" cy="172227"/>
    <xdr:sp macro="" textlink="">
      <xdr:nvSpPr>
        <xdr:cNvPr id="3" name="BlokTextu 2"/>
        <xdr:cNvSpPr txBox="1"/>
      </xdr:nvSpPr>
      <xdr:spPr>
        <a:xfrm>
          <a:off x="11725275" y="2524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3</xdr:col>
      <xdr:colOff>19049</xdr:colOff>
      <xdr:row>1</xdr:row>
      <xdr:rowOff>169201</xdr:rowOff>
    </xdr:from>
    <xdr:ext cx="731044" cy="196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sk-SK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1638299" y="426376"/>
              <a:ext cx="731044" cy="196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sk-SK" sz="1100" b="0" i="0">
                  <a:latin typeface="Cambria Math" panose="02040503050406030204" pitchFamily="18" charset="0"/>
                </a:rPr>
                <a:t>𝑝_𝑥=1−𝑞_𝑥</a:t>
              </a:r>
              <a:endParaRPr lang="sk-SK" sz="1100"/>
            </a:p>
          </xdr:txBody>
        </xdr:sp>
      </mc:Fallback>
    </mc:AlternateContent>
    <xdr:clientData/>
  </xdr:oneCellAnchor>
  <xdr:twoCellAnchor>
    <xdr:from>
      <xdr:col>4</xdr:col>
      <xdr:colOff>319614</xdr:colOff>
      <xdr:row>0</xdr:row>
      <xdr:rowOff>52916</xdr:rowOff>
    </xdr:from>
    <xdr:to>
      <xdr:col>4</xdr:col>
      <xdr:colOff>584409</xdr:colOff>
      <xdr:row>0</xdr:row>
      <xdr:rowOff>228176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9914" y="52916"/>
          <a:ext cx="264795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236459</xdr:colOff>
      <xdr:row>8</xdr:row>
      <xdr:rowOff>37041</xdr:rowOff>
    </xdr:from>
    <xdr:to>
      <xdr:col>10</xdr:col>
      <xdr:colOff>403262</xdr:colOff>
      <xdr:row>8</xdr:row>
      <xdr:rowOff>169333</xdr:rowOff>
    </xdr:to>
    <xdr:pic>
      <xdr:nvPicPr>
        <xdr:cNvPr id="13" name="Obrázok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2084" y="1627716"/>
          <a:ext cx="166803" cy="132292"/>
        </a:xfrm>
        <a:prstGeom prst="rect">
          <a:avLst/>
        </a:prstGeom>
      </xdr:spPr>
    </xdr:pic>
    <xdr:clientData/>
  </xdr:twoCellAnchor>
  <xdr:twoCellAnchor editAs="oneCell">
    <xdr:from>
      <xdr:col>10</xdr:col>
      <xdr:colOff>243416</xdr:colOff>
      <xdr:row>9</xdr:row>
      <xdr:rowOff>26459</xdr:rowOff>
    </xdr:from>
    <xdr:to>
      <xdr:col>10</xdr:col>
      <xdr:colOff>481541</xdr:colOff>
      <xdr:row>9</xdr:row>
      <xdr:rowOff>176582</xdr:rowOff>
    </xdr:to>
    <xdr:pic>
      <xdr:nvPicPr>
        <xdr:cNvPr id="14" name="Obrázok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041" y="1807634"/>
          <a:ext cx="238125" cy="150123"/>
        </a:xfrm>
        <a:prstGeom prst="rect">
          <a:avLst/>
        </a:prstGeom>
      </xdr:spPr>
    </xdr:pic>
    <xdr:clientData/>
  </xdr:twoCellAnchor>
  <xdr:twoCellAnchor editAs="oneCell">
    <xdr:from>
      <xdr:col>10</xdr:col>
      <xdr:colOff>274625</xdr:colOff>
      <xdr:row>10</xdr:row>
      <xdr:rowOff>26458</xdr:rowOff>
    </xdr:from>
    <xdr:to>
      <xdr:col>10</xdr:col>
      <xdr:colOff>396875</xdr:colOff>
      <xdr:row>10</xdr:row>
      <xdr:rowOff>175778</xdr:rowOff>
    </xdr:to>
    <xdr:pic>
      <xdr:nvPicPr>
        <xdr:cNvPr id="15" name="Obrázok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0250" y="1998133"/>
          <a:ext cx="122250" cy="149320"/>
        </a:xfrm>
        <a:prstGeom prst="rect">
          <a:avLst/>
        </a:prstGeom>
      </xdr:spPr>
    </xdr:pic>
    <xdr:clientData/>
  </xdr:twoCellAnchor>
  <xdr:oneCellAnchor>
    <xdr:from>
      <xdr:col>8</xdr:col>
      <xdr:colOff>407987</xdr:colOff>
      <xdr:row>0</xdr:row>
      <xdr:rowOff>246591</xdr:rowOff>
    </xdr:from>
    <xdr:ext cx="1799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BlokTextu 25"/>
            <xdr:cNvSpPr txBox="1"/>
          </xdr:nvSpPr>
          <xdr:spPr>
            <a:xfrm>
              <a:off x="6382279" y="246591"/>
              <a:ext cx="179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̈"/>
                            <m:ctrlPr>
                              <a:rPr lang="sk-SK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sk-SK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26" name="BlokTextu 25"/>
            <xdr:cNvSpPr txBox="1"/>
          </xdr:nvSpPr>
          <xdr:spPr>
            <a:xfrm>
              <a:off x="6382279" y="246591"/>
              <a:ext cx="179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b="0" i="0">
                  <a:latin typeface="Cambria Math" panose="02040503050406030204" pitchFamily="18" charset="0"/>
                </a:rPr>
                <a:t>𝑎 ̈_𝑥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10</xdr:col>
      <xdr:colOff>53444</xdr:colOff>
      <xdr:row>0</xdr:row>
      <xdr:rowOff>47625</xdr:rowOff>
    </xdr:from>
    <xdr:ext cx="877889" cy="252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BlokTextu 26"/>
            <xdr:cNvSpPr txBox="1"/>
          </xdr:nvSpPr>
          <xdr:spPr>
            <a:xfrm>
              <a:off x="6959069" y="47625"/>
              <a:ext cx="877889" cy="252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sz="800" b="0" i="1">
                            <a:latin typeface="Cambria Math" panose="02040503050406030204" pitchFamily="18" charset="0"/>
                          </a:rPr>
                          <m:t>𝑁𝑃</m:t>
                        </m:r>
                      </m:e>
                      <m:sub>
                        <m:r>
                          <a:rPr lang="sk-SK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sk-SK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sk-SK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sk-SK" sz="8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sk-SK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sk-SK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̈"/>
                                <m:ctrlPr>
                                  <a:rPr lang="sk-SK" sz="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sk-SK" sz="8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</m:acc>
                          </m:e>
                          <m:sub>
                            <m:r>
                              <a:rPr lang="sk-SK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sk-SK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×5 000</m:t>
                    </m:r>
                  </m:oMath>
                </m:oMathPara>
              </a14:m>
              <a:endParaRPr lang="sk-SK" sz="800"/>
            </a:p>
          </xdr:txBody>
        </xdr:sp>
      </mc:Choice>
      <mc:Fallback xmlns="">
        <xdr:sp macro="" textlink="">
          <xdr:nvSpPr>
            <xdr:cNvPr id="27" name="BlokTextu 26"/>
            <xdr:cNvSpPr txBox="1"/>
          </xdr:nvSpPr>
          <xdr:spPr>
            <a:xfrm>
              <a:off x="6959069" y="47625"/>
              <a:ext cx="877889" cy="252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sk-SK" sz="800" i="0">
                  <a:latin typeface="Cambria Math" panose="02040503050406030204" pitchFamily="18" charset="0"/>
                </a:rPr>
                <a:t>〖</a:t>
              </a:r>
              <a:r>
                <a:rPr lang="sk-SK" sz="800" b="0" i="0">
                  <a:latin typeface="Cambria Math" panose="02040503050406030204" pitchFamily="18" charset="0"/>
                </a:rPr>
                <a:t>𝑁𝑃〗_𝑥=𝐴_𝑥/𝑎 ̈_𝑥 </a:t>
              </a:r>
              <a:r>
                <a:rPr lang="sk-SK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×5 000</a:t>
              </a:r>
              <a:endParaRPr lang="sk-SK" sz="800"/>
            </a:p>
          </xdr:txBody>
        </xdr:sp>
      </mc:Fallback>
    </mc:AlternateContent>
    <xdr:clientData/>
  </xdr:oneCellAnchor>
  <xdr:oneCellAnchor>
    <xdr:from>
      <xdr:col>12</xdr:col>
      <xdr:colOff>460903</xdr:colOff>
      <xdr:row>7</xdr:row>
      <xdr:rowOff>3174</xdr:rowOff>
    </xdr:from>
    <xdr:ext cx="849655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BlokTextu 27"/>
            <xdr:cNvSpPr txBox="1"/>
          </xdr:nvSpPr>
          <xdr:spPr>
            <a:xfrm>
              <a:off x="14250986" y="1416049"/>
              <a:ext cx="849655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sk-SK" sz="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acc>
                          <m:accPr>
                            <m:chr m:val="̈"/>
                            <m:ctrlPr>
                              <a:rPr lang="sk-SK" sz="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sk-SK" sz="8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sk-SK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d>
                          <m:dPr>
                            <m:ctrlPr>
                              <a:rPr lang="sk-SK" sz="8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k-SK" sz="8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</m:d>
                      </m:sup>
                    </m:sSubSup>
                    <m:r>
                      <a:rPr lang="sk-SK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sk-SK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̈"/>
                            <m:ctrlPr>
                              <a:rPr lang="sk-SK" sz="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sk-SK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sk-SK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sk-SK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sk-SK" sz="800"/>
            </a:p>
          </xdr:txBody>
        </xdr:sp>
      </mc:Choice>
      <mc:Fallback xmlns="">
        <xdr:sp macro="" textlink="">
          <xdr:nvSpPr>
            <xdr:cNvPr id="28" name="BlokTextu 27"/>
            <xdr:cNvSpPr txBox="1"/>
          </xdr:nvSpPr>
          <xdr:spPr>
            <a:xfrm>
              <a:off x="14250986" y="1416049"/>
              <a:ext cx="849655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k-SK" sz="800" b="0" i="0">
                  <a:latin typeface="Cambria Math" panose="02040503050406030204" pitchFamily="18" charset="0"/>
                </a:rPr>
                <a:t>𝑎 ̈_𝑥^((𝑚) )</a:t>
              </a:r>
              <a:r>
                <a:rPr lang="sk-SK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sk-SK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 ̈_𝑥−(𝑚−1)/2𝑚</a:t>
              </a:r>
              <a:endParaRPr lang="sk-SK" sz="800"/>
            </a:p>
          </xdr:txBody>
        </xdr:sp>
      </mc:Fallback>
    </mc:AlternateContent>
    <xdr:clientData/>
  </xdr:oneCellAnchor>
  <xdr:oneCellAnchor>
    <xdr:from>
      <xdr:col>9</xdr:col>
      <xdr:colOff>291571</xdr:colOff>
      <xdr:row>1</xdr:row>
      <xdr:rowOff>19049</xdr:rowOff>
    </xdr:from>
    <xdr:ext cx="311687" cy="180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BlokTextu 6"/>
            <xdr:cNvSpPr txBox="1"/>
          </xdr:nvSpPr>
          <xdr:spPr>
            <a:xfrm>
              <a:off x="7435321" y="278341"/>
              <a:ext cx="31168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sk-SK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̈"/>
                            <m:ctrlPr>
                              <a:rPr lang="sk-SK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sk-SK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e>
                      <m:sub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sk-SK" sz="1100" b="0" i="1">
                            <a:latin typeface="Cambria Math" panose="02040503050406030204" pitchFamily="18" charset="0"/>
                          </a:rPr>
                          <m:t>:</m:t>
                        </m:r>
                        <m:d>
                          <m:dPr>
                            <m:begChr m:val=""/>
                            <m:endChr m:val="⌉"/>
                            <m:ctrlPr>
                              <a:rPr lang="sk-SK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sk-SK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sk-SK" sz="1100"/>
            </a:p>
          </xdr:txBody>
        </xdr:sp>
      </mc:Choice>
      <mc:Fallback xmlns="">
        <xdr:sp macro="" textlink="">
          <xdr:nvSpPr>
            <xdr:cNvPr id="7" name="BlokTextu 6"/>
            <xdr:cNvSpPr txBox="1"/>
          </xdr:nvSpPr>
          <xdr:spPr>
            <a:xfrm>
              <a:off x="7435321" y="278341"/>
              <a:ext cx="311687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 b="0" i="0">
                  <a:latin typeface="Cambria Math" panose="02040503050406030204" pitchFamily="18" charset="0"/>
                </a:rPr>
                <a:t>𝑎 ̈_(𝑥:├ 𝑛⌉ )</a:t>
              </a:r>
              <a:endParaRPr lang="sk-SK" sz="1100"/>
            </a:p>
          </xdr:txBody>
        </xdr:sp>
      </mc:Fallback>
    </mc:AlternateContent>
    <xdr:clientData/>
  </xdr:oneCellAnchor>
  <xdr:twoCellAnchor editAs="oneCell">
    <xdr:from>
      <xdr:col>12</xdr:col>
      <xdr:colOff>21167</xdr:colOff>
      <xdr:row>2</xdr:row>
      <xdr:rowOff>10582</xdr:rowOff>
    </xdr:from>
    <xdr:to>
      <xdr:col>12</xdr:col>
      <xdr:colOff>1534906</xdr:colOff>
      <xdr:row>3</xdr:row>
      <xdr:rowOff>100540</xdr:rowOff>
    </xdr:to>
    <xdr:pic>
      <xdr:nvPicPr>
        <xdr:cNvPr id="16" name="Obrázok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460374"/>
          <a:ext cx="1513739" cy="280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0"/>
  <sheetViews>
    <sheetView topLeftCell="A28" zoomScale="180" zoomScaleNormal="180" workbookViewId="0">
      <selection activeCell="C35" sqref="C35"/>
    </sheetView>
  </sheetViews>
  <sheetFormatPr defaultRowHeight="15" x14ac:dyDescent="0.25"/>
  <cols>
    <col min="3" max="3" width="12.28515625" customWidth="1"/>
    <col min="4" max="4" width="11.7109375" customWidth="1"/>
    <col min="5" max="5" width="16.7109375" customWidth="1"/>
    <col min="6" max="6" width="12.42578125" customWidth="1"/>
    <col min="7" max="7" width="12.5703125" customWidth="1"/>
    <col min="8" max="8" width="15.7109375" customWidth="1"/>
    <col min="9" max="9" width="12.42578125" customWidth="1"/>
    <col min="10" max="10" width="16" customWidth="1"/>
  </cols>
  <sheetData>
    <row r="1" spans="1:10" ht="20.25" customHeight="1" x14ac:dyDescent="3.5">
      <c r="E1" s="4" t="s">
        <v>1</v>
      </c>
      <c r="F1" s="4" t="s">
        <v>1</v>
      </c>
    </row>
    <row r="2" spans="1:10" ht="18" x14ac:dyDescent="0.35">
      <c r="C2" t="s">
        <v>5</v>
      </c>
      <c r="D2" s="18" t="s">
        <v>4</v>
      </c>
      <c r="E2" s="19">
        <v>2.3501919999999998</v>
      </c>
      <c r="F2" s="19">
        <v>-2.9701919999999999</v>
      </c>
      <c r="G2" s="19">
        <v>4.3011549999999996</v>
      </c>
      <c r="H2" s="19">
        <v>4.0061770000000001</v>
      </c>
      <c r="I2" s="19">
        <v>6.9220969999999999</v>
      </c>
      <c r="J2" s="19">
        <v>0.85175900000000004</v>
      </c>
    </row>
    <row r="3" spans="1:10" ht="18" x14ac:dyDescent="0.35">
      <c r="D3" s="18" t="s">
        <v>12</v>
      </c>
      <c r="E3" s="229">
        <v>1.8524400000000001</v>
      </c>
      <c r="F3" s="19">
        <v>-2.5452140000000001</v>
      </c>
      <c r="G3" s="230">
        <v>26.050540999999999</v>
      </c>
      <c r="H3" s="19">
        <v>-24.729244999999999</v>
      </c>
      <c r="I3" s="19">
        <v>1.1056299999999999</v>
      </c>
      <c r="J3" s="19">
        <v>1.1652899999999999</v>
      </c>
    </row>
    <row r="4" spans="1:10" x14ac:dyDescent="0.25">
      <c r="A4" s="15" t="s">
        <v>0</v>
      </c>
      <c r="B4" s="15" t="s">
        <v>2</v>
      </c>
    </row>
    <row r="5" spans="1:10" x14ac:dyDescent="0.25">
      <c r="A5" s="1">
        <v>0</v>
      </c>
      <c r="B5" s="1">
        <v>0</v>
      </c>
      <c r="C5" s="17"/>
      <c r="D5" s="3"/>
    </row>
    <row r="6" spans="1:10" x14ac:dyDescent="0.25">
      <c r="A6" s="1">
        <v>1</v>
      </c>
      <c r="B6" s="1">
        <v>1</v>
      </c>
      <c r="C6" s="17">
        <v>3.2707303765799889E-4</v>
      </c>
      <c r="D6" s="3">
        <f t="shared" ref="D6:D69" si="0">1-C6</f>
        <v>0.999672926962342</v>
      </c>
    </row>
    <row r="7" spans="1:10" x14ac:dyDescent="0.25">
      <c r="A7" s="1">
        <v>2</v>
      </c>
      <c r="B7" s="1">
        <v>2</v>
      </c>
      <c r="C7" s="17">
        <v>1.8489414757338896E-4</v>
      </c>
      <c r="D7" s="3">
        <f t="shared" si="0"/>
        <v>0.99981510585242661</v>
      </c>
    </row>
    <row r="8" spans="1:10" x14ac:dyDescent="0.25">
      <c r="A8" s="1">
        <v>3</v>
      </c>
      <c r="B8" s="1">
        <v>3</v>
      </c>
      <c r="C8" s="17">
        <v>1.1596892019938299E-4</v>
      </c>
      <c r="D8" s="3">
        <f t="shared" si="0"/>
        <v>0.99988403107980062</v>
      </c>
    </row>
    <row r="9" spans="1:10" x14ac:dyDescent="0.25">
      <c r="A9" s="1">
        <v>4</v>
      </c>
      <c r="B9" s="1">
        <v>4</v>
      </c>
      <c r="C9" s="17">
        <v>1.1804061499476325E-4</v>
      </c>
      <c r="D9" s="3">
        <f t="shared" si="0"/>
        <v>0.99988195938500524</v>
      </c>
    </row>
    <row r="10" spans="1:10" x14ac:dyDescent="0.25">
      <c r="A10" s="1">
        <v>5</v>
      </c>
      <c r="B10" s="1">
        <v>5</v>
      </c>
      <c r="C10" s="17">
        <v>1.2383188637977131E-4</v>
      </c>
      <c r="D10" s="3">
        <f t="shared" si="0"/>
        <v>0.99987616811362023</v>
      </c>
    </row>
    <row r="11" spans="1:10" x14ac:dyDescent="0.25">
      <c r="A11" s="1">
        <v>6</v>
      </c>
      <c r="B11" s="1">
        <v>6</v>
      </c>
      <c r="C11" s="17">
        <v>1.1747899054292587E-4</v>
      </c>
      <c r="D11" s="3">
        <f t="shared" si="0"/>
        <v>0.99988252100945707</v>
      </c>
    </row>
    <row r="12" spans="1:10" x14ac:dyDescent="0.25">
      <c r="A12" s="1">
        <v>7</v>
      </c>
      <c r="B12" s="1">
        <v>7</v>
      </c>
      <c r="C12" s="17">
        <v>1.2147049275116676E-4</v>
      </c>
      <c r="D12" s="3">
        <f t="shared" si="0"/>
        <v>0.99987852950724887</v>
      </c>
    </row>
    <row r="13" spans="1:10" x14ac:dyDescent="0.25">
      <c r="A13" s="1">
        <v>8</v>
      </c>
      <c r="B13" s="1">
        <v>8</v>
      </c>
      <c r="C13" s="17">
        <v>1.0726917711719257E-4</v>
      </c>
      <c r="D13" s="3">
        <f t="shared" si="0"/>
        <v>0.99989273082288277</v>
      </c>
    </row>
    <row r="14" spans="1:10" x14ac:dyDescent="0.25">
      <c r="A14" s="1">
        <v>9</v>
      </c>
      <c r="B14" s="1">
        <v>9</v>
      </c>
      <c r="C14" s="17">
        <v>1.0800581451897437E-4</v>
      </c>
      <c r="D14" s="3">
        <f t="shared" si="0"/>
        <v>0.99989199418548103</v>
      </c>
    </row>
    <row r="15" spans="1:10" x14ac:dyDescent="0.25">
      <c r="A15" s="1">
        <v>10</v>
      </c>
      <c r="B15" s="1">
        <v>10</v>
      </c>
      <c r="C15" s="17">
        <v>1.0474648720435203E-4</v>
      </c>
      <c r="D15" s="3">
        <f t="shared" si="0"/>
        <v>0.99989525351279562</v>
      </c>
    </row>
    <row r="16" spans="1:10" x14ac:dyDescent="0.25">
      <c r="A16" s="1">
        <v>11</v>
      </c>
      <c r="B16" s="1">
        <v>11</v>
      </c>
      <c r="C16" s="17">
        <v>1.31099998941164E-4</v>
      </c>
      <c r="D16" s="3">
        <f t="shared" si="0"/>
        <v>0.99986890000105888</v>
      </c>
    </row>
    <row r="17" spans="1:4" x14ac:dyDescent="0.25">
      <c r="A17" s="1">
        <v>12</v>
      </c>
      <c r="B17" s="1">
        <v>12</v>
      </c>
      <c r="C17" s="17">
        <v>1.2313946088541526E-4</v>
      </c>
      <c r="D17" s="3">
        <f t="shared" si="0"/>
        <v>0.99987686053911462</v>
      </c>
    </row>
    <row r="18" spans="1:4" x14ac:dyDescent="0.25">
      <c r="A18" s="1">
        <v>13</v>
      </c>
      <c r="B18" s="1">
        <v>13</v>
      </c>
      <c r="C18" s="17">
        <v>1.3812007939213421E-4</v>
      </c>
      <c r="D18" s="3">
        <f t="shared" si="0"/>
        <v>0.99986187992060782</v>
      </c>
    </row>
    <row r="19" spans="1:4" x14ac:dyDescent="0.25">
      <c r="A19" s="1">
        <v>14</v>
      </c>
      <c r="B19" s="1">
        <v>14</v>
      </c>
      <c r="C19" s="17">
        <v>1.6423436152799263E-4</v>
      </c>
      <c r="D19" s="3">
        <f t="shared" si="0"/>
        <v>0.99983576563847198</v>
      </c>
    </row>
    <row r="20" spans="1:4" x14ac:dyDescent="0.25">
      <c r="A20" s="1">
        <v>15</v>
      </c>
      <c r="B20" s="1">
        <v>15</v>
      </c>
      <c r="C20" s="17">
        <v>2.2451560408917707E-4</v>
      </c>
      <c r="D20" s="3">
        <f t="shared" si="0"/>
        <v>0.9997754843959108</v>
      </c>
    </row>
    <row r="21" spans="1:4" x14ac:dyDescent="0.25">
      <c r="A21" s="1">
        <v>16</v>
      </c>
      <c r="B21" s="1">
        <v>16</v>
      </c>
      <c r="C21" s="17">
        <v>2.7266104643514745E-4</v>
      </c>
      <c r="D21" s="3">
        <f t="shared" si="0"/>
        <v>0.9997273389535648</v>
      </c>
    </row>
    <row r="22" spans="1:4" x14ac:dyDescent="0.25">
      <c r="A22" s="1">
        <v>17</v>
      </c>
      <c r="B22" s="1">
        <v>17</v>
      </c>
      <c r="C22" s="17">
        <v>3.2917804734925306E-4</v>
      </c>
      <c r="D22" s="3">
        <f t="shared" si="0"/>
        <v>0.99967082195265078</v>
      </c>
    </row>
    <row r="23" spans="1:4" x14ac:dyDescent="0.25">
      <c r="A23" s="1">
        <v>18</v>
      </c>
      <c r="B23" s="1">
        <v>18</v>
      </c>
      <c r="C23" s="17">
        <v>4.1298748032588911E-4</v>
      </c>
      <c r="D23" s="3">
        <f t="shared" si="0"/>
        <v>0.99958701251967408</v>
      </c>
    </row>
    <row r="24" spans="1:4" x14ac:dyDescent="0.25">
      <c r="A24" s="1">
        <v>19</v>
      </c>
      <c r="B24" s="1">
        <v>19</v>
      </c>
      <c r="C24" s="17">
        <v>4.5383259035790063E-4</v>
      </c>
      <c r="D24" s="3">
        <f t="shared" si="0"/>
        <v>0.99954616740964208</v>
      </c>
    </row>
    <row r="25" spans="1:4" x14ac:dyDescent="0.25">
      <c r="A25" s="1">
        <v>20</v>
      </c>
      <c r="B25" s="1">
        <v>20</v>
      </c>
      <c r="C25" s="17">
        <v>4.6624269955125152E-4</v>
      </c>
      <c r="D25" s="3">
        <f t="shared" si="0"/>
        <v>0.9995337573004488</v>
      </c>
    </row>
    <row r="26" spans="1:4" x14ac:dyDescent="0.25">
      <c r="A26" s="1">
        <v>21</v>
      </c>
      <c r="B26" s="1">
        <v>21</v>
      </c>
      <c r="C26" s="17">
        <v>4.287568228000324E-4</v>
      </c>
      <c r="D26" s="3">
        <f t="shared" si="0"/>
        <v>0.99957124317719992</v>
      </c>
    </row>
    <row r="27" spans="1:4" x14ac:dyDescent="0.25">
      <c r="A27" s="1">
        <v>22</v>
      </c>
      <c r="B27" s="1">
        <v>22</v>
      </c>
      <c r="C27" s="17">
        <v>4.5192196565256945E-4</v>
      </c>
      <c r="D27" s="3">
        <f t="shared" si="0"/>
        <v>0.99954807803434742</v>
      </c>
    </row>
    <row r="28" spans="1:4" x14ac:dyDescent="0.25">
      <c r="A28" s="1">
        <v>23</v>
      </c>
      <c r="B28" s="1">
        <v>23</v>
      </c>
      <c r="C28" s="17">
        <v>5.2311073192778002E-4</v>
      </c>
      <c r="D28" s="3">
        <f t="shared" si="0"/>
        <v>0.99947688926807221</v>
      </c>
    </row>
    <row r="29" spans="1:4" x14ac:dyDescent="0.25">
      <c r="A29" s="1">
        <v>24</v>
      </c>
      <c r="B29" s="1">
        <v>24</v>
      </c>
      <c r="C29" s="17">
        <v>6.0421142780540797E-4</v>
      </c>
      <c r="D29" s="3">
        <f t="shared" si="0"/>
        <v>0.99939578857219458</v>
      </c>
    </row>
    <row r="30" spans="1:4" x14ac:dyDescent="0.25">
      <c r="A30" s="1">
        <v>25</v>
      </c>
      <c r="B30" s="1">
        <v>25</v>
      </c>
      <c r="C30" s="17">
        <v>6.3518777576412303E-4</v>
      </c>
      <c r="D30" s="3">
        <f t="shared" si="0"/>
        <v>0.9993648122242359</v>
      </c>
    </row>
    <row r="31" spans="1:4" x14ac:dyDescent="0.25">
      <c r="A31" s="1">
        <v>26</v>
      </c>
      <c r="B31" s="1">
        <v>26</v>
      </c>
      <c r="C31" s="17">
        <v>6.4575519800419109E-4</v>
      </c>
      <c r="D31" s="3">
        <f t="shared" si="0"/>
        <v>0.99935424480199586</v>
      </c>
    </row>
    <row r="32" spans="1:4" x14ac:dyDescent="0.25">
      <c r="A32" s="1">
        <v>27</v>
      </c>
      <c r="B32" s="1">
        <v>27</v>
      </c>
      <c r="C32" s="17">
        <v>7.0733642614240026E-4</v>
      </c>
      <c r="D32" s="3">
        <f t="shared" si="0"/>
        <v>0.9992926635738576</v>
      </c>
    </row>
    <row r="33" spans="1:4" x14ac:dyDescent="0.25">
      <c r="A33" s="1">
        <v>28</v>
      </c>
      <c r="B33" s="1">
        <v>28</v>
      </c>
      <c r="C33" s="17">
        <v>7.0995550128589362E-4</v>
      </c>
      <c r="D33" s="3">
        <f t="shared" si="0"/>
        <v>0.99929004449871406</v>
      </c>
    </row>
    <row r="34" spans="1:4" x14ac:dyDescent="0.25">
      <c r="A34" s="1">
        <v>29</v>
      </c>
      <c r="B34" s="1">
        <v>29</v>
      </c>
      <c r="C34" s="17">
        <v>7.594134502938465E-4</v>
      </c>
      <c r="D34" s="3">
        <f t="shared" si="0"/>
        <v>0.99924058654970616</v>
      </c>
    </row>
    <row r="35" spans="1:4" x14ac:dyDescent="0.25">
      <c r="A35" s="1">
        <v>30</v>
      </c>
      <c r="B35" s="1">
        <v>30</v>
      </c>
      <c r="C35" s="17">
        <v>8.279802028143497E-4</v>
      </c>
      <c r="D35" s="3">
        <f t="shared" si="0"/>
        <v>0.99917201979718562</v>
      </c>
    </row>
    <row r="36" spans="1:4" x14ac:dyDescent="0.25">
      <c r="A36" s="1">
        <v>31</v>
      </c>
      <c r="B36" s="1">
        <v>31</v>
      </c>
      <c r="C36" s="17">
        <v>9.3958852840120614E-4</v>
      </c>
      <c r="D36" s="3">
        <f t="shared" si="0"/>
        <v>0.99906041147159874</v>
      </c>
    </row>
    <row r="37" spans="1:4" x14ac:dyDescent="0.25">
      <c r="A37" s="1">
        <v>32</v>
      </c>
      <c r="B37" s="1">
        <v>32</v>
      </c>
      <c r="C37" s="17">
        <v>1.0319366344008537E-3</v>
      </c>
      <c r="D37" s="3">
        <f t="shared" si="0"/>
        <v>0.99896806336559918</v>
      </c>
    </row>
    <row r="38" spans="1:4" x14ac:dyDescent="0.25">
      <c r="A38" s="1">
        <v>33</v>
      </c>
      <c r="B38" s="1">
        <v>33</v>
      </c>
      <c r="C38" s="17">
        <v>1.0464696879975339E-3</v>
      </c>
      <c r="D38" s="3">
        <f t="shared" si="0"/>
        <v>0.99895353031200251</v>
      </c>
    </row>
    <row r="39" spans="1:4" x14ac:dyDescent="0.25">
      <c r="A39" s="1">
        <v>34</v>
      </c>
      <c r="B39" s="1">
        <v>34</v>
      </c>
      <c r="C39" s="17">
        <v>1.0284638099251429E-3</v>
      </c>
      <c r="D39" s="3">
        <f t="shared" si="0"/>
        <v>0.99897153619007484</v>
      </c>
    </row>
    <row r="40" spans="1:4" x14ac:dyDescent="0.25">
      <c r="A40" s="1">
        <v>35</v>
      </c>
      <c r="B40" s="1">
        <v>35</v>
      </c>
      <c r="C40" s="17">
        <v>1.0709044775518422E-3</v>
      </c>
      <c r="D40" s="3">
        <f t="shared" si="0"/>
        <v>0.99892909552244813</v>
      </c>
    </row>
    <row r="41" spans="1:4" x14ac:dyDescent="0.25">
      <c r="A41" s="1">
        <v>36</v>
      </c>
      <c r="B41" s="1">
        <v>36</v>
      </c>
      <c r="C41" s="17">
        <v>1.2274063642613777E-3</v>
      </c>
      <c r="D41" s="3">
        <f t="shared" si="0"/>
        <v>0.99877259363573867</v>
      </c>
    </row>
    <row r="42" spans="1:4" x14ac:dyDescent="0.25">
      <c r="A42" s="1">
        <v>37</v>
      </c>
      <c r="B42" s="1">
        <v>37</v>
      </c>
      <c r="C42" s="17">
        <v>1.4161826546013117E-3</v>
      </c>
      <c r="D42" s="3">
        <f t="shared" si="0"/>
        <v>0.99858381734539869</v>
      </c>
    </row>
    <row r="43" spans="1:4" x14ac:dyDescent="0.25">
      <c r="A43" s="1">
        <v>38</v>
      </c>
      <c r="B43" s="1">
        <v>38</v>
      </c>
      <c r="C43" s="17">
        <v>1.5622393001174472E-3</v>
      </c>
      <c r="D43" s="3">
        <f t="shared" si="0"/>
        <v>0.99843776069988255</v>
      </c>
    </row>
    <row r="44" spans="1:4" x14ac:dyDescent="0.25">
      <c r="A44" s="1">
        <v>39</v>
      </c>
      <c r="B44" s="1">
        <v>39</v>
      </c>
      <c r="C44" s="17">
        <v>1.7069170953454866E-3</v>
      </c>
      <c r="D44" s="3">
        <f t="shared" si="0"/>
        <v>0.99829308290465446</v>
      </c>
    </row>
    <row r="45" spans="1:4" x14ac:dyDescent="0.25">
      <c r="A45" s="1">
        <v>40</v>
      </c>
      <c r="B45" s="1">
        <v>40</v>
      </c>
      <c r="C45" s="17">
        <v>1.79244123660696E-3</v>
      </c>
      <c r="D45" s="3">
        <f t="shared" si="0"/>
        <v>0.99820755876339307</v>
      </c>
    </row>
    <row r="46" spans="1:4" x14ac:dyDescent="0.25">
      <c r="A46" s="1">
        <v>41</v>
      </c>
      <c r="B46" s="1">
        <v>41</v>
      </c>
      <c r="C46" s="17">
        <v>1.9609889240404178E-3</v>
      </c>
      <c r="D46" s="3">
        <f t="shared" si="0"/>
        <v>0.9980390110759596</v>
      </c>
    </row>
    <row r="47" spans="1:4" x14ac:dyDescent="0.25">
      <c r="A47" s="1">
        <v>42</v>
      </c>
      <c r="B47" s="1">
        <v>42</v>
      </c>
      <c r="C47" s="17">
        <v>2.1915353318650377E-3</v>
      </c>
      <c r="D47" s="3">
        <f t="shared" si="0"/>
        <v>0.997808464668135</v>
      </c>
    </row>
    <row r="48" spans="1:4" x14ac:dyDescent="0.25">
      <c r="A48" s="1">
        <v>43</v>
      </c>
      <c r="B48" s="1">
        <v>43</v>
      </c>
      <c r="C48" s="17">
        <v>2.50621450025804E-3</v>
      </c>
      <c r="D48" s="3">
        <f t="shared" si="0"/>
        <v>0.99749378549974199</v>
      </c>
    </row>
    <row r="49" spans="1:4" x14ac:dyDescent="0.25">
      <c r="A49" s="1">
        <v>44</v>
      </c>
      <c r="B49" s="1">
        <v>44</v>
      </c>
      <c r="C49" s="17">
        <v>2.7492339648723255E-3</v>
      </c>
      <c r="D49" s="3">
        <f t="shared" si="0"/>
        <v>0.99725076603512763</v>
      </c>
    </row>
    <row r="50" spans="1:4" x14ac:dyDescent="0.25">
      <c r="A50" s="1">
        <v>45</v>
      </c>
      <c r="B50" s="1">
        <v>45</v>
      </c>
      <c r="C50" s="17">
        <v>2.9586052969170283E-3</v>
      </c>
      <c r="D50" s="3">
        <f t="shared" si="0"/>
        <v>0.99704139470308295</v>
      </c>
    </row>
    <row r="51" spans="1:4" x14ac:dyDescent="0.25">
      <c r="A51" s="1">
        <v>46</v>
      </c>
      <c r="B51" s="1">
        <v>46</v>
      </c>
      <c r="C51" s="17">
        <v>3.3615550953189706E-3</v>
      </c>
      <c r="D51" s="3">
        <f t="shared" si="0"/>
        <v>0.99663844490468101</v>
      </c>
    </row>
    <row r="52" spans="1:4" x14ac:dyDescent="0.25">
      <c r="A52" s="1">
        <v>47</v>
      </c>
      <c r="B52" s="1">
        <v>47</v>
      </c>
      <c r="C52" s="17">
        <v>3.8236631832787478E-3</v>
      </c>
      <c r="D52" s="3">
        <f t="shared" si="0"/>
        <v>0.99617633681672124</v>
      </c>
    </row>
    <row r="53" spans="1:4" x14ac:dyDescent="0.25">
      <c r="A53" s="1">
        <v>48</v>
      </c>
      <c r="B53" s="1">
        <v>48</v>
      </c>
      <c r="C53" s="17">
        <v>4.3508081972202517E-3</v>
      </c>
      <c r="D53" s="3">
        <f t="shared" si="0"/>
        <v>0.99564919180277978</v>
      </c>
    </row>
    <row r="54" spans="1:4" x14ac:dyDescent="0.25">
      <c r="A54" s="1">
        <v>49</v>
      </c>
      <c r="B54" s="1">
        <v>49</v>
      </c>
      <c r="C54" s="17">
        <v>4.7802607156820949E-3</v>
      </c>
      <c r="D54" s="3">
        <f t="shared" si="0"/>
        <v>0.99521973928431795</v>
      </c>
    </row>
    <row r="55" spans="1:4" x14ac:dyDescent="0.25">
      <c r="A55" s="1">
        <v>50</v>
      </c>
      <c r="B55" s="1">
        <v>50</v>
      </c>
      <c r="C55" s="17">
        <v>5.3683226934888488E-3</v>
      </c>
      <c r="D55" s="3">
        <f t="shared" si="0"/>
        <v>0.99463167730651114</v>
      </c>
    </row>
    <row r="56" spans="1:4" x14ac:dyDescent="0.25">
      <c r="A56" s="1">
        <v>51</v>
      </c>
      <c r="B56" s="1">
        <v>51</v>
      </c>
      <c r="C56" s="17">
        <v>5.8385840569370583E-3</v>
      </c>
      <c r="D56" s="3">
        <f t="shared" si="0"/>
        <v>0.99416141594306295</v>
      </c>
    </row>
    <row r="57" spans="1:4" x14ac:dyDescent="0.25">
      <c r="A57" s="1">
        <v>52</v>
      </c>
      <c r="B57" s="1">
        <v>52</v>
      </c>
      <c r="C57" s="17">
        <v>6.3944107580785536E-3</v>
      </c>
      <c r="D57" s="3">
        <f t="shared" si="0"/>
        <v>0.99360558924192144</v>
      </c>
    </row>
    <row r="58" spans="1:4" x14ac:dyDescent="0.25">
      <c r="A58" s="1">
        <v>53</v>
      </c>
      <c r="B58" s="1">
        <v>53</v>
      </c>
      <c r="C58" s="17">
        <v>6.9856464825959509E-3</v>
      </c>
      <c r="D58" s="3">
        <f t="shared" si="0"/>
        <v>0.99301435351740408</v>
      </c>
    </row>
    <row r="59" spans="1:4" x14ac:dyDescent="0.25">
      <c r="A59" s="1">
        <v>54</v>
      </c>
      <c r="B59" s="1">
        <v>54</v>
      </c>
      <c r="C59" s="17">
        <v>7.9751758402779125E-3</v>
      </c>
      <c r="D59" s="3">
        <f t="shared" si="0"/>
        <v>0.99202482415972204</v>
      </c>
    </row>
    <row r="60" spans="1:4" x14ac:dyDescent="0.25">
      <c r="A60" s="1">
        <v>55</v>
      </c>
      <c r="B60" s="1">
        <v>55</v>
      </c>
      <c r="C60" s="17">
        <v>8.9823729596385515E-3</v>
      </c>
      <c r="D60" s="3">
        <f t="shared" si="0"/>
        <v>0.99101762704036145</v>
      </c>
    </row>
    <row r="61" spans="1:4" x14ac:dyDescent="0.25">
      <c r="A61" s="1">
        <v>56</v>
      </c>
      <c r="B61" s="1">
        <v>56</v>
      </c>
      <c r="C61" s="17">
        <v>9.8472600277920534E-3</v>
      </c>
      <c r="D61" s="3">
        <f t="shared" si="0"/>
        <v>0.99015273997220798</v>
      </c>
    </row>
    <row r="62" spans="1:4" x14ac:dyDescent="0.25">
      <c r="A62" s="1">
        <v>57</v>
      </c>
      <c r="B62" s="1">
        <v>57</v>
      </c>
      <c r="C62" s="17">
        <v>1.062509620253387E-2</v>
      </c>
      <c r="D62" s="3">
        <f t="shared" si="0"/>
        <v>0.98937490379746618</v>
      </c>
    </row>
    <row r="63" spans="1:4" x14ac:dyDescent="0.25">
      <c r="A63" s="1">
        <v>58</v>
      </c>
      <c r="B63" s="1">
        <v>58</v>
      </c>
      <c r="C63" s="17">
        <v>1.1532022872793221E-2</v>
      </c>
      <c r="D63" s="3">
        <f t="shared" si="0"/>
        <v>0.9884679771272068</v>
      </c>
    </row>
    <row r="64" spans="1:4" x14ac:dyDescent="0.25">
      <c r="A64" s="1">
        <v>59</v>
      </c>
      <c r="B64" s="1">
        <v>59</v>
      </c>
      <c r="C64" s="17">
        <v>1.282132401342323E-2</v>
      </c>
      <c r="D64" s="3">
        <f t="shared" si="0"/>
        <v>0.98717867598657683</v>
      </c>
    </row>
    <row r="65" spans="1:4" x14ac:dyDescent="0.25">
      <c r="A65" s="1">
        <v>60</v>
      </c>
      <c r="B65" s="1">
        <v>60</v>
      </c>
      <c r="C65" s="17">
        <v>1.3993820694014239E-2</v>
      </c>
      <c r="D65" s="3">
        <f t="shared" si="0"/>
        <v>0.98600617930598577</v>
      </c>
    </row>
    <row r="66" spans="1:4" x14ac:dyDescent="0.25">
      <c r="A66" s="1">
        <v>61</v>
      </c>
      <c r="B66" s="1">
        <v>61</v>
      </c>
      <c r="C66" s="17">
        <v>1.5789362132141549E-2</v>
      </c>
      <c r="D66" s="3">
        <f t="shared" si="0"/>
        <v>0.98421063786785845</v>
      </c>
    </row>
    <row r="67" spans="1:4" x14ac:dyDescent="0.25">
      <c r="A67" s="1">
        <v>62</v>
      </c>
      <c r="B67" s="1">
        <v>62</v>
      </c>
      <c r="C67" s="17">
        <v>1.7491725665991654E-2</v>
      </c>
      <c r="D67" s="3">
        <f t="shared" si="0"/>
        <v>0.98250827433400834</v>
      </c>
    </row>
    <row r="68" spans="1:4" x14ac:dyDescent="0.25">
      <c r="A68" s="1">
        <v>63</v>
      </c>
      <c r="B68" s="1">
        <v>63</v>
      </c>
      <c r="C68" s="17">
        <v>1.921968630142732E-2</v>
      </c>
      <c r="D68" s="3">
        <f t="shared" si="0"/>
        <v>0.98078031369857266</v>
      </c>
    </row>
    <row r="69" spans="1:4" x14ac:dyDescent="0.25">
      <c r="A69" s="1">
        <v>64</v>
      </c>
      <c r="B69" s="1">
        <v>64</v>
      </c>
      <c r="C69" s="17">
        <v>2.0487828410334794E-2</v>
      </c>
      <c r="D69" s="3">
        <f t="shared" si="0"/>
        <v>0.97951217158966519</v>
      </c>
    </row>
    <row r="70" spans="1:4" x14ac:dyDescent="0.25">
      <c r="A70" s="1">
        <v>65</v>
      </c>
      <c r="B70" s="1">
        <v>65</v>
      </c>
      <c r="C70" s="17">
        <v>2.1782008215735317E-2</v>
      </c>
      <c r="D70" s="3">
        <f t="shared" ref="D70:D110" si="1">1-C70</f>
        <v>0.97821799178426472</v>
      </c>
    </row>
    <row r="71" spans="1:4" x14ac:dyDescent="0.25">
      <c r="A71" s="1">
        <v>66</v>
      </c>
      <c r="B71" s="1">
        <v>66</v>
      </c>
      <c r="C71" s="17">
        <v>2.3345392397782359E-2</v>
      </c>
      <c r="D71" s="3">
        <f t="shared" si="1"/>
        <v>0.97665460760221767</v>
      </c>
    </row>
    <row r="72" spans="1:4" x14ac:dyDescent="0.25">
      <c r="A72" s="1">
        <v>67</v>
      </c>
      <c r="B72" s="1">
        <v>67</v>
      </c>
      <c r="C72" s="17">
        <v>2.5277617903692692E-2</v>
      </c>
      <c r="D72" s="3">
        <f t="shared" si="1"/>
        <v>0.97472238209630735</v>
      </c>
    </row>
    <row r="73" spans="1:4" x14ac:dyDescent="0.25">
      <c r="A73" s="1">
        <v>68</v>
      </c>
      <c r="B73" s="1">
        <v>68</v>
      </c>
      <c r="C73" s="17">
        <v>2.8097097063730259E-2</v>
      </c>
      <c r="D73" s="3">
        <f t="shared" si="1"/>
        <v>0.9719029029362698</v>
      </c>
    </row>
    <row r="74" spans="1:4" x14ac:dyDescent="0.25">
      <c r="A74" s="1">
        <v>69</v>
      </c>
      <c r="B74" s="1">
        <v>69</v>
      </c>
      <c r="C74" s="17">
        <v>3.1015541214860165E-2</v>
      </c>
      <c r="D74" s="3">
        <f t="shared" si="1"/>
        <v>0.96898445878513983</v>
      </c>
    </row>
    <row r="75" spans="1:4" x14ac:dyDescent="0.25">
      <c r="A75" s="1">
        <v>70</v>
      </c>
      <c r="B75" s="1">
        <v>70</v>
      </c>
      <c r="C75" s="17">
        <v>3.3576208414515571E-2</v>
      </c>
      <c r="D75" s="3">
        <f t="shared" si="1"/>
        <v>0.96642379158548442</v>
      </c>
    </row>
    <row r="76" spans="1:4" x14ac:dyDescent="0.25">
      <c r="A76" s="1">
        <v>71</v>
      </c>
      <c r="B76" s="1">
        <v>71</v>
      </c>
      <c r="C76" s="17">
        <v>3.6439182521974742E-2</v>
      </c>
      <c r="D76" s="3">
        <f t="shared" si="1"/>
        <v>0.96356081747802524</v>
      </c>
    </row>
    <row r="77" spans="1:4" x14ac:dyDescent="0.25">
      <c r="A77" s="1">
        <v>72</v>
      </c>
      <c r="B77" s="1">
        <v>72</v>
      </c>
      <c r="C77" s="17">
        <v>3.9394860506877766E-2</v>
      </c>
      <c r="D77" s="3">
        <f t="shared" si="1"/>
        <v>0.96060513949312221</v>
      </c>
    </row>
    <row r="78" spans="1:4" x14ac:dyDescent="0.25">
      <c r="A78" s="1">
        <v>73</v>
      </c>
      <c r="B78" s="1">
        <v>73</v>
      </c>
      <c r="C78" s="17">
        <v>4.2877879406435053E-2</v>
      </c>
      <c r="D78" s="3">
        <f t="shared" si="1"/>
        <v>0.95712212059356494</v>
      </c>
    </row>
    <row r="79" spans="1:4" x14ac:dyDescent="0.25">
      <c r="A79" s="1">
        <v>74</v>
      </c>
      <c r="B79" s="1">
        <v>74</v>
      </c>
      <c r="C79" s="17">
        <v>4.5988822084573416E-2</v>
      </c>
      <c r="D79" s="3">
        <f t="shared" si="1"/>
        <v>0.95401117791542656</v>
      </c>
    </row>
    <row r="80" spans="1:4" x14ac:dyDescent="0.25">
      <c r="A80" s="1">
        <v>75</v>
      </c>
      <c r="B80" s="1">
        <v>75</v>
      </c>
      <c r="C80" s="17">
        <v>5.0893397860034509E-2</v>
      </c>
      <c r="D80" s="3">
        <f t="shared" si="1"/>
        <v>0.94910660213996545</v>
      </c>
    </row>
    <row r="81" spans="1:4" x14ac:dyDescent="0.25">
      <c r="A81" s="1">
        <v>76</v>
      </c>
      <c r="B81" s="1">
        <v>76</v>
      </c>
      <c r="C81" s="17">
        <v>5.5853423171573643E-2</v>
      </c>
      <c r="D81" s="3">
        <f t="shared" si="1"/>
        <v>0.9441465768284264</v>
      </c>
    </row>
    <row r="82" spans="1:4" x14ac:dyDescent="0.25">
      <c r="A82" s="1">
        <v>77</v>
      </c>
      <c r="B82" s="1">
        <v>77</v>
      </c>
      <c r="C82" s="17">
        <v>6.2278173590920013E-2</v>
      </c>
      <c r="D82" s="3">
        <f t="shared" si="1"/>
        <v>0.93772182640907997</v>
      </c>
    </row>
    <row r="83" spans="1:4" x14ac:dyDescent="0.25">
      <c r="A83" s="1">
        <v>78</v>
      </c>
      <c r="B83" s="1">
        <v>78</v>
      </c>
      <c r="C83" s="17">
        <v>6.8458949541259709E-2</v>
      </c>
      <c r="D83" s="3">
        <f t="shared" si="1"/>
        <v>0.93154105045874025</v>
      </c>
    </row>
    <row r="84" spans="1:4" x14ac:dyDescent="0.25">
      <c r="A84" s="1">
        <v>79</v>
      </c>
      <c r="B84" s="1">
        <v>79</v>
      </c>
      <c r="C84" s="17">
        <v>7.5911013722041218E-2</v>
      </c>
      <c r="D84" s="3">
        <f t="shared" si="1"/>
        <v>0.92408898627795877</v>
      </c>
    </row>
    <row r="85" spans="1:4" x14ac:dyDescent="0.25">
      <c r="A85" s="1">
        <v>80</v>
      </c>
      <c r="B85" s="1">
        <v>80</v>
      </c>
      <c r="C85" s="17">
        <v>8.2167038289521516E-2</v>
      </c>
      <c r="D85" s="3">
        <f t="shared" si="1"/>
        <v>0.91783296171047846</v>
      </c>
    </row>
    <row r="86" spans="1:4" x14ac:dyDescent="0.25">
      <c r="A86" s="1">
        <v>81</v>
      </c>
      <c r="B86" s="1">
        <v>81</v>
      </c>
      <c r="C86" s="17">
        <v>9.0630089936738004E-2</v>
      </c>
      <c r="D86" s="3">
        <f t="shared" si="1"/>
        <v>0.90936991006326195</v>
      </c>
    </row>
    <row r="87" spans="1:4" x14ac:dyDescent="0.25">
      <c r="A87" s="1">
        <v>82</v>
      </c>
      <c r="B87" s="1">
        <v>82</v>
      </c>
      <c r="C87" s="17">
        <v>9.9530929772906396E-2</v>
      </c>
      <c r="D87" s="3">
        <f t="shared" si="1"/>
        <v>0.90046907022709366</v>
      </c>
    </row>
    <row r="88" spans="1:4" x14ac:dyDescent="0.25">
      <c r="A88" s="1">
        <v>83</v>
      </c>
      <c r="B88" s="1">
        <v>83</v>
      </c>
      <c r="C88" s="17">
        <v>0.11121477599845658</v>
      </c>
      <c r="D88" s="3">
        <f t="shared" si="1"/>
        <v>0.88878522400154347</v>
      </c>
    </row>
    <row r="89" spans="1:4" x14ac:dyDescent="0.25">
      <c r="A89" s="1">
        <v>84</v>
      </c>
      <c r="B89" s="1">
        <v>84</v>
      </c>
      <c r="C89" s="17">
        <v>0.12260725637644374</v>
      </c>
      <c r="D89" s="3">
        <f t="shared" si="1"/>
        <v>0.87739274362355624</v>
      </c>
    </row>
    <row r="90" spans="1:4" x14ac:dyDescent="0.25">
      <c r="A90" s="1">
        <v>85</v>
      </c>
      <c r="B90" s="1">
        <v>85</v>
      </c>
      <c r="C90" s="17">
        <v>0.13552090373598136</v>
      </c>
      <c r="D90" s="3">
        <f t="shared" si="1"/>
        <v>0.86447909626401864</v>
      </c>
    </row>
    <row r="91" spans="1:4" x14ac:dyDescent="0.25">
      <c r="A91" s="1">
        <v>86</v>
      </c>
      <c r="B91" s="1">
        <v>86</v>
      </c>
      <c r="C91" s="17">
        <v>0.14578434023424647</v>
      </c>
      <c r="D91" s="3">
        <f t="shared" si="1"/>
        <v>0.85421565976575353</v>
      </c>
    </row>
    <row r="92" spans="1:4" x14ac:dyDescent="0.25">
      <c r="A92" s="1">
        <v>87</v>
      </c>
      <c r="B92" s="1">
        <v>87</v>
      </c>
      <c r="C92" s="17">
        <v>0.16008627626484961</v>
      </c>
      <c r="D92" s="3">
        <f t="shared" si="1"/>
        <v>0.83991372373515039</v>
      </c>
    </row>
    <row r="93" spans="1:4" x14ac:dyDescent="0.25">
      <c r="A93" s="1">
        <v>88</v>
      </c>
      <c r="B93" s="1">
        <v>88</v>
      </c>
      <c r="C93" s="17">
        <v>0.17569153775747448</v>
      </c>
      <c r="D93" s="3">
        <f t="shared" si="1"/>
        <v>0.82430846224252552</v>
      </c>
    </row>
    <row r="94" spans="1:4" x14ac:dyDescent="0.25">
      <c r="A94" s="1">
        <v>89</v>
      </c>
      <c r="B94" s="1">
        <v>89</v>
      </c>
      <c r="C94" s="17">
        <v>0.19268533835068291</v>
      </c>
      <c r="D94" s="3">
        <f t="shared" si="1"/>
        <v>0.80731466164931709</v>
      </c>
    </row>
    <row r="95" spans="1:4" x14ac:dyDescent="0.25">
      <c r="A95" s="1">
        <v>90</v>
      </c>
      <c r="B95" s="1">
        <v>90</v>
      </c>
      <c r="C95" s="17">
        <v>0.21115072425938974</v>
      </c>
      <c r="D95" s="3">
        <f t="shared" si="1"/>
        <v>0.78884927574061026</v>
      </c>
    </row>
    <row r="96" spans="1:4" x14ac:dyDescent="0.25">
      <c r="A96" s="1">
        <v>91</v>
      </c>
      <c r="B96" s="1">
        <v>91</v>
      </c>
      <c r="C96" s="17">
        <v>0.23116635688745502</v>
      </c>
      <c r="D96" s="3">
        <f t="shared" si="1"/>
        <v>0.76883364311254498</v>
      </c>
    </row>
    <row r="97" spans="1:4" x14ac:dyDescent="0.25">
      <c r="A97" s="1">
        <v>92</v>
      </c>
      <c r="B97" s="1">
        <v>92</v>
      </c>
      <c r="C97" s="17">
        <v>0.25280381897582338</v>
      </c>
      <c r="D97" s="3">
        <f t="shared" si="1"/>
        <v>0.74719618102417662</v>
      </c>
    </row>
    <row r="98" spans="1:4" x14ac:dyDescent="0.25">
      <c r="A98" s="1">
        <v>93</v>
      </c>
      <c r="B98" s="1">
        <v>93</v>
      </c>
      <c r="C98" s="17">
        <v>0.27612440413937089</v>
      </c>
      <c r="D98" s="3">
        <f t="shared" si="1"/>
        <v>0.72387559586062911</v>
      </c>
    </row>
    <row r="99" spans="1:4" x14ac:dyDescent="0.25">
      <c r="A99" s="1">
        <v>94</v>
      </c>
      <c r="B99" s="1">
        <v>94</v>
      </c>
      <c r="C99" s="17">
        <v>0.3011753643124625</v>
      </c>
      <c r="D99" s="3">
        <f t="shared" si="1"/>
        <v>0.6988246356875375</v>
      </c>
    </row>
    <row r="100" spans="1:4" x14ac:dyDescent="0.25">
      <c r="A100" s="1">
        <v>95</v>
      </c>
      <c r="B100" s="1">
        <v>95</v>
      </c>
      <c r="C100" s="17">
        <v>0.32798561282421468</v>
      </c>
      <c r="D100" s="3">
        <f t="shared" si="1"/>
        <v>0.67201438717578532</v>
      </c>
    </row>
    <row r="101" spans="1:4" x14ac:dyDescent="0.25">
      <c r="A101" s="1">
        <v>96</v>
      </c>
      <c r="B101" s="1">
        <v>96</v>
      </c>
      <c r="C101" s="17">
        <v>0.35656091470086759</v>
      </c>
      <c r="D101" s="3">
        <f t="shared" si="1"/>
        <v>0.64343908529913241</v>
      </c>
    </row>
    <row r="102" spans="1:4" x14ac:dyDescent="0.25">
      <c r="A102" s="1">
        <v>97</v>
      </c>
      <c r="B102" s="1">
        <v>97</v>
      </c>
      <c r="C102" s="17">
        <v>0.38687864244993142</v>
      </c>
      <c r="D102" s="3">
        <f t="shared" si="1"/>
        <v>0.61312135755006858</v>
      </c>
    </row>
    <row r="103" spans="1:4" x14ac:dyDescent="0.25">
      <c r="A103" s="1">
        <v>98</v>
      </c>
      <c r="B103" s="1">
        <v>98</v>
      </c>
      <c r="C103" s="17">
        <v>0.41888223675923764</v>
      </c>
      <c r="D103" s="3">
        <f t="shared" si="1"/>
        <v>0.58111776324076236</v>
      </c>
    </row>
    <row r="104" spans="1:4" x14ac:dyDescent="0.25">
      <c r="A104" s="1">
        <v>99</v>
      </c>
      <c r="B104" s="1">
        <v>99</v>
      </c>
      <c r="C104" s="17">
        <v>0.45247558811737287</v>
      </c>
      <c r="D104" s="3">
        <f t="shared" si="1"/>
        <v>0.54752441188262713</v>
      </c>
    </row>
    <row r="105" spans="1:4" x14ac:dyDescent="0.25">
      <c r="A105" s="1">
        <v>100</v>
      </c>
      <c r="B105" s="1">
        <v>100</v>
      </c>
      <c r="C105" s="17">
        <v>0.48751764663145869</v>
      </c>
      <c r="D105" s="3">
        <f t="shared" si="1"/>
        <v>0.51248235336854131</v>
      </c>
    </row>
    <row r="106" spans="1:4" x14ac:dyDescent="0.25">
      <c r="A106" s="1">
        <v>101</v>
      </c>
      <c r="B106" s="1">
        <v>101</v>
      </c>
      <c r="C106" s="17">
        <v>0.52381767009312385</v>
      </c>
      <c r="D106" s="3">
        <f t="shared" si="1"/>
        <v>0.47618232990687615</v>
      </c>
    </row>
    <row r="107" spans="1:4" x14ac:dyDescent="0.25">
      <c r="A107" s="1">
        <v>102</v>
      </c>
      <c r="B107" s="1">
        <v>102</v>
      </c>
      <c r="C107" s="17">
        <v>0.56113162784400372</v>
      </c>
      <c r="D107" s="3">
        <f t="shared" si="1"/>
        <v>0.43886837215599628</v>
      </c>
    </row>
    <row r="108" spans="1:4" x14ac:dyDescent="0.25">
      <c r="A108" s="1">
        <v>103</v>
      </c>
      <c r="B108" s="1">
        <v>103</v>
      </c>
      <c r="C108" s="17">
        <v>0.59916037869075023</v>
      </c>
      <c r="D108" s="3">
        <f t="shared" si="1"/>
        <v>0.40083962130924977</v>
      </c>
    </row>
    <row r="109" spans="1:4" x14ac:dyDescent="0.25">
      <c r="A109" s="1">
        <v>104</v>
      </c>
      <c r="B109" s="1">
        <v>104</v>
      </c>
      <c r="C109" s="17">
        <v>0.63755031775638038</v>
      </c>
      <c r="D109" s="3">
        <f t="shared" si="1"/>
        <v>0.36244968224361962</v>
      </c>
    </row>
    <row r="110" spans="1:4" x14ac:dyDescent="0.25">
      <c r="A110" s="1">
        <v>105</v>
      </c>
      <c r="B110" s="1">
        <v>105</v>
      </c>
      <c r="C110" s="17">
        <v>0.67589721632066113</v>
      </c>
      <c r="D110" s="3">
        <f t="shared" si="1"/>
        <v>0.32410278367933887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zoomScale="180" zoomScaleNormal="180" workbookViewId="0">
      <selection activeCell="H47" sqref="H47"/>
    </sheetView>
  </sheetViews>
  <sheetFormatPr defaultRowHeight="15" x14ac:dyDescent="0.25"/>
  <cols>
    <col min="1" max="1" width="6.85546875" customWidth="1"/>
    <col min="2" max="2" width="6.5703125" customWidth="1"/>
    <col min="3" max="3" width="10.85546875" bestFit="1" customWidth="1"/>
    <col min="4" max="4" width="11.7109375" customWidth="1"/>
    <col min="5" max="5" width="12.42578125" customWidth="1"/>
    <col min="6" max="7" width="13.28515625" customWidth="1"/>
    <col min="8" max="8" width="14.5703125" customWidth="1"/>
    <col min="9" max="9" width="14" customWidth="1"/>
    <col min="10" max="10" width="12.42578125" customWidth="1"/>
    <col min="11" max="11" width="31.42578125" customWidth="1"/>
    <col min="12" max="12" width="23.140625" customWidth="1"/>
    <col min="13" max="13" width="8" customWidth="1"/>
    <col min="15" max="16" width="13.28515625" customWidth="1"/>
    <col min="18" max="18" width="9.7109375" bestFit="1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14">
        <v>0.5</v>
      </c>
      <c r="F2" s="23"/>
      <c r="G2" s="23"/>
      <c r="H2" s="23"/>
    </row>
    <row r="3" spans="1:20" x14ac:dyDescent="0.25">
      <c r="A3" s="15" t="s">
        <v>0</v>
      </c>
      <c r="B3" s="15" t="s">
        <v>2</v>
      </c>
      <c r="E3" s="10" t="s">
        <v>6</v>
      </c>
      <c r="F3" s="50">
        <f>SUM(F4:F43)</f>
        <v>0.25318809099134032</v>
      </c>
      <c r="G3" s="50"/>
      <c r="H3" s="6"/>
      <c r="I3" s="5">
        <f>SUM(I4:I43)</f>
        <v>33.873408562129782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45">
        <f>'základné pravdepodobnosti 2021'!C35</f>
        <v>8.279802028143497E-4</v>
      </c>
      <c r="D4" s="34">
        <f>1-C4</f>
        <v>0.99917201979718562</v>
      </c>
      <c r="E4" s="34">
        <f>1/(1+$E$2/100)^B4</f>
        <v>0.99502487562189068</v>
      </c>
      <c r="F4" s="49">
        <f>C4*E4</f>
        <v>8.2386089832273612E-4</v>
      </c>
      <c r="G4" s="49">
        <f>C4*E4</f>
        <v>8.2386089832273612E-4</v>
      </c>
      <c r="H4" s="53">
        <f>B1*F3</f>
        <v>2531.8809099134032</v>
      </c>
      <c r="I4" s="25">
        <f>1</f>
        <v>1</v>
      </c>
      <c r="J4" s="24">
        <f>B1*F3/I3</f>
        <v>74.745383396226245</v>
      </c>
      <c r="K4" s="25">
        <f>PRODUCT(D4:D43)*E43</f>
        <v>0.57828748830155141</v>
      </c>
      <c r="L4" s="25">
        <f>I3-11/24*(1-K4)</f>
        <v>33.680123660934662</v>
      </c>
      <c r="M4" s="8">
        <f>B1*F3/(12*L4)</f>
        <v>6.2645279438460868</v>
      </c>
      <c r="N4" s="5"/>
      <c r="O4" s="49">
        <f>PRODUCT(D4:D43)*E43</f>
        <v>0.57828748830155141</v>
      </c>
      <c r="P4" s="9">
        <f>B1*O4/I3</f>
        <v>170.72019405454</v>
      </c>
      <c r="Q4" s="5">
        <f>O4/(12*L4)</f>
        <v>1.4308327519897219E-3</v>
      </c>
      <c r="R4" s="8">
        <f>B1*O4</f>
        <v>5782.8748830155137</v>
      </c>
      <c r="S4" s="36">
        <f>R4/(12*L4)</f>
        <v>14.308327519897217</v>
      </c>
      <c r="T4" s="36">
        <f>B1*(O4+K9/100+K10/100*L4)/(12*(1-K11/100)*L4)</f>
        <v>17.385983285514797</v>
      </c>
    </row>
    <row r="5" spans="1:20" x14ac:dyDescent="0.25">
      <c r="A5" s="1">
        <v>31</v>
      </c>
      <c r="B5" s="1">
        <v>2</v>
      </c>
      <c r="C5" s="45">
        <f>'základné pravdepodobnosti 2021'!C36</f>
        <v>9.3958852840120614E-4</v>
      </c>
      <c r="D5" s="34">
        <f t="shared" ref="D5:D43" si="0">1-C5</f>
        <v>0.99906041147159874</v>
      </c>
      <c r="E5" s="34">
        <f>1/(1+$E$2/100)^B5</f>
        <v>0.99007450310635903</v>
      </c>
      <c r="F5" s="46">
        <f>(D4-PRODUCT(D4:D5))*E5</f>
        <v>9.2949240632752086E-4</v>
      </c>
      <c r="G5" s="46">
        <f>D4*C5*E5</f>
        <v>9.2949240632746589E-4</v>
      </c>
      <c r="H5" s="25"/>
      <c r="I5" s="25">
        <f>D4*E4</f>
        <v>0.99420101472356792</v>
      </c>
      <c r="J5" s="5"/>
      <c r="K5" s="5"/>
      <c r="L5" s="5"/>
      <c r="M5" s="5"/>
      <c r="N5" s="5"/>
      <c r="O5" s="8">
        <f>B1*O4</f>
        <v>5782.8748830155137</v>
      </c>
      <c r="P5" s="5"/>
      <c r="Q5" s="5"/>
      <c r="R5" s="5"/>
    </row>
    <row r="6" spans="1:20" x14ac:dyDescent="0.25">
      <c r="A6" s="1">
        <v>32</v>
      </c>
      <c r="B6" s="1">
        <v>3</v>
      </c>
      <c r="C6" s="45">
        <f>'základné pravdepodobnosti 2021'!C37</f>
        <v>1.0319366344008537E-3</v>
      </c>
      <c r="D6" s="34">
        <f t="shared" si="0"/>
        <v>0.99896806336559918</v>
      </c>
      <c r="E6" s="34">
        <f>1/(1+$E$2/100)^B6</f>
        <v>0.98514875930981005</v>
      </c>
      <c r="F6" s="47">
        <f>(PRODUCT($D$4:D5)-PRODUCT($D$4:D6))*E6</f>
        <v>1.0148149559663483E-3</v>
      </c>
      <c r="G6" s="47">
        <f>PRODUCT($D$4:D5)*C6*E6</f>
        <v>1.0148149559663755E-3</v>
      </c>
      <c r="H6" s="25"/>
      <c r="I6" s="25">
        <f>PRODUCT($D$4:D5)*E5</f>
        <v>0.9883252486121481</v>
      </c>
      <c r="J6" s="24"/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45">
        <f>'základné pravdepodobnosti 2021'!C38</f>
        <v>1.0464696879975339E-3</v>
      </c>
      <c r="D7" s="34">
        <f t="shared" si="0"/>
        <v>0.99895353031200251</v>
      </c>
      <c r="E7" s="34">
        <f t="shared" ref="E7:E42" si="1">1/(1+$E$2/100)^B7</f>
        <v>0.9802475217013038</v>
      </c>
      <c r="F7" s="47">
        <f>(PRODUCT($D$4:D6)-PRODUCT($D$4:D7))*E7</f>
        <v>1.0229302557851773E-3</v>
      </c>
      <c r="G7" s="47">
        <f>PRODUCT($D$4:D6)*C7*E7</f>
        <v>1.0229302557851966E-3</v>
      </c>
      <c r="H7" s="25"/>
      <c r="I7" s="25">
        <f>PRODUCT($D$4:D6)*E6</f>
        <v>0.98239339261831049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45">
        <f>'základné pravdepodobnosti 2021'!C39</f>
        <v>1.0284638099251429E-3</v>
      </c>
      <c r="D8" s="34">
        <f t="shared" si="0"/>
        <v>0.99897153619007484</v>
      </c>
      <c r="E8" s="34">
        <f>1/(1+$E$2/100)^B8</f>
        <v>0.97537066835950648</v>
      </c>
      <c r="F8" s="47">
        <f>(PRODUCT($D$4:D7)-PRODUCT($D$4:D8))*E8</f>
        <v>9.9928095288300445E-4</v>
      </c>
      <c r="G8" s="47">
        <f>PRODUCT($D$4:D7)*C8*E8</f>
        <v>9.9928095288296975E-4</v>
      </c>
      <c r="H8" s="25"/>
      <c r="I8" s="25">
        <f>PRODUCT($D$4:D7)*E7</f>
        <v>0.97648293304601663</v>
      </c>
      <c r="J8" s="5"/>
      <c r="K8" s="5"/>
      <c r="L8" s="5"/>
      <c r="M8" s="5"/>
      <c r="N8" s="5"/>
      <c r="O8" s="5"/>
      <c r="P8" s="245" t="s">
        <v>15</v>
      </c>
      <c r="Q8" s="245"/>
      <c r="R8" s="5"/>
      <c r="S8" t="s">
        <v>23</v>
      </c>
    </row>
    <row r="9" spans="1:20" x14ac:dyDescent="0.25">
      <c r="A9" s="1">
        <v>35</v>
      </c>
      <c r="B9" s="1">
        <v>6</v>
      </c>
      <c r="C9" s="45">
        <f>'základné pravdepodobnosti 2021'!C40</f>
        <v>1.0709044775518422E-3</v>
      </c>
      <c r="D9" s="34">
        <f>1-C9</f>
        <v>0.99892909552244813</v>
      </c>
      <c r="E9" s="34">
        <f t="shared" si="1"/>
        <v>0.97051807796965839</v>
      </c>
      <c r="F9" s="47">
        <f>(PRODUCT($D$4:D8)-PRODUCT($D$4:D9))*E9</f>
        <v>1.0342758447889383E-3</v>
      </c>
      <c r="G9" s="47">
        <f>PRODUCT($D$4:D8)*C9*E9</f>
        <v>1.0342758447889177E-3</v>
      </c>
      <c r="H9" s="25"/>
      <c r="I9" s="25">
        <f>PRODUCT($D$4:D8)*E8</f>
        <v>0.97062552804812874</v>
      </c>
      <c r="J9" s="40" t="s">
        <v>13</v>
      </c>
      <c r="K9" s="27">
        <v>5</v>
      </c>
      <c r="L9" s="5"/>
      <c r="M9" s="5"/>
      <c r="N9" s="5"/>
      <c r="O9" s="5"/>
      <c r="P9" s="8">
        <f>(H4+R4)/I3</f>
        <v>245.46557745076629</v>
      </c>
      <c r="Q9" s="5"/>
      <c r="R9" s="5"/>
      <c r="S9" s="36">
        <f>B1*(O4+F3+K9/100+K10/100*I3)/((1-K11/100)*I3)</f>
        <v>283.05698839632248</v>
      </c>
    </row>
    <row r="10" spans="1:20" x14ac:dyDescent="0.25">
      <c r="A10" s="1">
        <v>36</v>
      </c>
      <c r="B10" s="1">
        <v>7</v>
      </c>
      <c r="C10" s="45">
        <f>'základné pravdepodobnosti 2021'!C41</f>
        <v>1.2274063642613777E-3</v>
      </c>
      <c r="D10" s="34">
        <f t="shared" si="0"/>
        <v>0.99877259363573867</v>
      </c>
      <c r="E10" s="34">
        <f t="shared" si="1"/>
        <v>0.96568962982055562</v>
      </c>
      <c r="F10" s="47">
        <f>(PRODUCT($D$4:D9)-PRODUCT($D$4:D10))*E10</f>
        <v>1.1782640294079585E-3</v>
      </c>
      <c r="G10" s="47">
        <f>PRODUCT($D$4:D9)*C10*E10</f>
        <v>1.1782640294079518E-3</v>
      </c>
      <c r="H10" s="25"/>
      <c r="I10" s="25">
        <f>PRODUCT($D$4:D9)*E9</f>
        <v>0.96476226947673238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45">
        <f>'základné pravdepodobnosti 2021'!C42</f>
        <v>1.4161826546013117E-3</v>
      </c>
      <c r="D11" s="34">
        <f t="shared" si="0"/>
        <v>0.99858381734539869</v>
      </c>
      <c r="E11" s="34">
        <f t="shared" si="1"/>
        <v>0.96088520380154796</v>
      </c>
      <c r="F11" s="47">
        <f>(PRODUCT($D$4:D10)-PRODUCT($D$4:D11))*E11</f>
        <v>1.3510582525980139E-3</v>
      </c>
      <c r="G11" s="47">
        <f>PRODUCT($D$4:D10)*C11*E11</f>
        <v>1.3510582525980564E-3</v>
      </c>
      <c r="H11" s="25"/>
      <c r="I11" s="25">
        <f>PRODUCT($D$4:D10)*E10</f>
        <v>0.95878419316137053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45">
        <f>'základné pravdepodobnosti 2021'!C43</f>
        <v>1.5622393001174472E-3</v>
      </c>
      <c r="D12" s="34">
        <f t="shared" si="0"/>
        <v>0.99843776069988255</v>
      </c>
      <c r="E12" s="34">
        <f t="shared" si="1"/>
        <v>0.95610468039955032</v>
      </c>
      <c r="F12" s="47">
        <f>(PRODUCT($D$4:D11)-PRODUCT($D$4:D12))*E12</f>
        <v>1.4808832625010312E-3</v>
      </c>
      <c r="G12" s="47">
        <f>PRODUCT($D$4:D11)*C12*E12</f>
        <v>1.4808832625010666E-3</v>
      </c>
      <c r="H12" s="25"/>
      <c r="I12" s="25">
        <f>PRODUCT($D$4:D11)*E11</f>
        <v>0.95266306429602943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45">
        <f>'základné pravdepodobnosti 2021'!C44</f>
        <v>1.7069170953454866E-3</v>
      </c>
      <c r="D13" s="34">
        <f t="shared" si="0"/>
        <v>0.99829308290465446</v>
      </c>
      <c r="E13" s="34">
        <f t="shared" si="1"/>
        <v>0.95134794069607009</v>
      </c>
      <c r="F13" s="47">
        <f>(PRODUCT($D$4:D12)-PRODUCT($D$4:D13))*E13</f>
        <v>1.6074616834923594E-3</v>
      </c>
      <c r="G13" s="47">
        <f>PRODUCT($D$4:D12)*C13*E13</f>
        <v>1.6074616834923399E-3</v>
      </c>
      <c r="H13" s="25"/>
      <c r="I13" s="25">
        <f>PRODUCT($D$4:D12)*E12</f>
        <v>0.94644256379822489</v>
      </c>
      <c r="J13" s="5"/>
      <c r="K13" s="29" t="s">
        <v>21</v>
      </c>
      <c r="L13" s="30" t="s">
        <v>8</v>
      </c>
      <c r="M13" s="5"/>
      <c r="N13" s="5"/>
      <c r="O13" s="29" t="s">
        <v>22</v>
      </c>
      <c r="P13" s="5"/>
      <c r="Q13" s="5"/>
      <c r="R13" s="5"/>
    </row>
    <row r="14" spans="1:20" x14ac:dyDescent="0.25">
      <c r="A14" s="1">
        <v>40</v>
      </c>
      <c r="B14" s="1">
        <v>11</v>
      </c>
      <c r="C14" s="45">
        <f>'základné pravdepodobnosti 2021'!C45</f>
        <v>1.79244123660696E-3</v>
      </c>
      <c r="D14" s="34">
        <f t="shared" si="0"/>
        <v>0.99820755876339307</v>
      </c>
      <c r="E14" s="34">
        <f t="shared" si="1"/>
        <v>0.94661486636424896</v>
      </c>
      <c r="F14" s="47">
        <f>(PRODUCT($D$4:D13)-PRODUCT($D$4:D14))*E14</f>
        <v>1.6767376970085704E-3</v>
      </c>
      <c r="G14" s="47">
        <f>PRODUCT($D$4:D13)*C14*E14</f>
        <v>1.6767376970086446E-3</v>
      </c>
      <c r="H14" s="25"/>
      <c r="I14" s="25">
        <f>PRODUCT($D$4:D13)*E13</f>
        <v>0.9401264326430997</v>
      </c>
      <c r="J14" s="5"/>
      <c r="K14" s="8">
        <f>B1*(F3+K9/100+K10/100*I3)/((1-K11/100)*I3)</f>
        <v>110.6123479371911</v>
      </c>
      <c r="L14" s="8">
        <f>B1*(F3+K9/100+K10/100*L4)/(12*(1-K11/100)*L4)</f>
        <v>9.260933208695473</v>
      </c>
      <c r="M14" s="5"/>
      <c r="N14" s="5"/>
      <c r="O14" s="8">
        <f>B1*(O4+K9/100+K10/100*I3)/((1-K11/100)*I3)</f>
        <v>207.55660112740708</v>
      </c>
      <c r="P14" s="5"/>
      <c r="Q14" s="5"/>
      <c r="R14" s="5"/>
    </row>
    <row r="15" spans="1:20" x14ac:dyDescent="0.25">
      <c r="A15" s="1">
        <v>41</v>
      </c>
      <c r="B15" s="1">
        <v>12</v>
      </c>
      <c r="C15" s="45">
        <f>'základné pravdepodobnosti 2021'!C46</f>
        <v>1.9609889240404178E-3</v>
      </c>
      <c r="D15" s="34">
        <f t="shared" si="0"/>
        <v>0.9980390110759596</v>
      </c>
      <c r="E15" s="34">
        <f t="shared" si="1"/>
        <v>0.94190533966591972</v>
      </c>
      <c r="F15" s="47">
        <f>(PRODUCT($D$4:D14)-PRODUCT($D$4:D15))*E15</f>
        <v>1.8220073931220638E-3</v>
      </c>
      <c r="G15" s="47">
        <f>PRODUCT($D$4:D14)*C15*E15</f>
        <v>1.822007393122084E-3</v>
      </c>
      <c r="H15" s="25"/>
      <c r="I15" s="25">
        <f>PRODUCT($D$4:D14)*E14</f>
        <v>0.93377244901254353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45">
        <f>'základné pravdepodobnosti 2021'!C47</f>
        <v>2.1915353318650377E-3</v>
      </c>
      <c r="D16" s="34">
        <f t="shared" si="0"/>
        <v>0.997808464668135</v>
      </c>
      <c r="E16" s="34">
        <f t="shared" si="1"/>
        <v>0.93721924344867635</v>
      </c>
      <c r="F16" s="47">
        <f>(PRODUCT($D$4:D15)-PRODUCT($D$4:D16))*E16</f>
        <v>2.0221106956642781E-3</v>
      </c>
      <c r="G16" s="47">
        <f>PRODUCT($D$4:D15)*C16*E16</f>
        <v>2.022110695664269E-3</v>
      </c>
      <c r="H16" s="25"/>
      <c r="I16" s="25">
        <f>PRODUCT($D$4:D15)*E15</f>
        <v>0.92730480754473255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45">
        <f>'základné pravdepodobnosti 2021'!C48</f>
        <v>2.50621450025804E-3</v>
      </c>
      <c r="D17" s="34">
        <f t="shared" si="0"/>
        <v>0.99749378549974199</v>
      </c>
      <c r="E17" s="34">
        <f t="shared" si="1"/>
        <v>0.93255646114296176</v>
      </c>
      <c r="F17" s="47">
        <f>(PRODUCT($D$4:D16)-PRODUCT($D$4:D17))*E17</f>
        <v>2.2959150243462116E-3</v>
      </c>
      <c r="G17" s="47">
        <f>PRODUCT($D$4:D16)*C17*E17</f>
        <v>2.295915024346196E-3</v>
      </c>
      <c r="H17" s="25"/>
      <c r="I17" s="25">
        <f>PRODUCT($D$4:D16)*E16</f>
        <v>0.92066924009511431</v>
      </c>
      <c r="J17" s="5"/>
      <c r="K17" s="5">
        <v>0.25376779119309428</v>
      </c>
      <c r="L17" s="8">
        <f>B1*(K17+K9/100+K10/100*L4)/(12*(1-K11/100)*L4)</f>
        <v>9.2754213720318628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45">
        <f>'základné pravdepodobnosti 2021'!C49</f>
        <v>2.7492339648723255E-3</v>
      </c>
      <c r="D18" s="34">
        <f t="shared" si="0"/>
        <v>0.99725076603512763</v>
      </c>
      <c r="E18" s="34">
        <f t="shared" si="1"/>
        <v>0.92791687675916612</v>
      </c>
      <c r="F18" s="47">
        <f>(PRODUCT($D$4:D17)-PRODUCT($D$4:D18))*E18</f>
        <v>2.4997317667181775E-3</v>
      </c>
      <c r="G18" s="47">
        <f>PRODUCT($D$4:D17)*C18*E18</f>
        <v>2.4997317667181142E-3</v>
      </c>
      <c r="H18" s="25"/>
      <c r="I18" s="25">
        <f>PRODUCT($D$4:D17)*E17</f>
        <v>0.91379288109019563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45">
        <f>'základné pravdepodobnosti 2021'!C50</f>
        <v>2.9586052969170283E-3</v>
      </c>
      <c r="D19" s="34">
        <f t="shared" si="0"/>
        <v>0.99704139470308295</v>
      </c>
      <c r="E19" s="34">
        <f t="shared" si="1"/>
        <v>0.92330037488474248</v>
      </c>
      <c r="F19" s="47">
        <f>(PRODUCT($D$4:D18)-PRODUCT($D$4:D19))*E19</f>
        <v>2.6693594317313582E-3</v>
      </c>
      <c r="G19" s="47">
        <f>PRODUCT($D$4:D18)*C19*E19</f>
        <v>2.6693594317313057E-3</v>
      </c>
      <c r="H19" s="25"/>
      <c r="I19" s="25">
        <f>PRODUCT($D$4:D18)*E18</f>
        <v>0.90674691608422298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45">
        <f>'základné pravdepodobnosti 2021'!C51</f>
        <v>3.3615550953189706E-3</v>
      </c>
      <c r="D20" s="34">
        <f t="shared" si="0"/>
        <v>0.99663844490468101</v>
      </c>
      <c r="E20" s="34">
        <f t="shared" si="1"/>
        <v>0.9187068406813359</v>
      </c>
      <c r="F20" s="47">
        <f>(PRODUCT($D$4:D19)-PRODUCT($D$4:D20))*E20</f>
        <v>3.0088974541568167E-3</v>
      </c>
      <c r="G20" s="47">
        <f>PRODUCT($D$4:D19)*C20*E20</f>
        <v>3.0088974541567924E-3</v>
      </c>
      <c r="H20" s="25"/>
      <c r="I20" s="25">
        <f>PRODUCT($D$4:D19)*E19</f>
        <v>0.89956637796550554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45">
        <f>'základné pravdepodobnosti 2021'!C52</f>
        <v>3.8236631832787478E-3</v>
      </c>
      <c r="D21" s="34">
        <f t="shared" si="0"/>
        <v>0.99617633681672124</v>
      </c>
      <c r="E21" s="34">
        <f t="shared" si="1"/>
        <v>0.91413615988192654</v>
      </c>
      <c r="F21" s="47">
        <f>(PRODUCT($D$4:D20)-PRODUCT($D$4:D21))*E21</f>
        <v>3.394050944157147E-3</v>
      </c>
      <c r="G21" s="47">
        <f>PRODUCT($D$4:D20)*C21*E21</f>
        <v>3.3940509441571349E-3</v>
      </c>
      <c r="H21" s="25"/>
      <c r="I21" s="25">
        <f>PRODUCT($D$4:D20)*E20</f>
        <v>0.89208202589460495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45">
        <f>'základné pravdepodobnosti 2021'!C53</f>
        <v>4.3508081972202517E-3</v>
      </c>
      <c r="D22" s="34">
        <f t="shared" si="0"/>
        <v>0.99564919180277978</v>
      </c>
      <c r="E22" s="34">
        <f t="shared" si="1"/>
        <v>0.90958821878798668</v>
      </c>
      <c r="F22" s="47">
        <f>(PRODUCT($D$4:D21)-PRODUCT($D$4:D22))*E22</f>
        <v>3.8280607825173472E-3</v>
      </c>
      <c r="G22" s="47">
        <f>PRODUCT($D$4:D21)*C22*E22</f>
        <v>3.8280607825173906E-3</v>
      </c>
      <c r="H22" s="25"/>
      <c r="I22" s="25">
        <f>PRODUCT($D$4:D21)*E21</f>
        <v>0.88424975591614652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45">
        <f>'základné pravdepodobnosti 2021'!C54</f>
        <v>4.7802607156820949E-3</v>
      </c>
      <c r="D23" s="34">
        <f t="shared" si="0"/>
        <v>0.99521973928431795</v>
      </c>
      <c r="E23" s="34">
        <f t="shared" si="1"/>
        <v>0.90506290426665348</v>
      </c>
      <c r="F23" s="47">
        <f>(PRODUCT($D$4:D22)-PRODUCT($D$4:D23))*E23</f>
        <v>4.16678175969761E-3</v>
      </c>
      <c r="G23" s="47">
        <f>PRODUCT($D$4:D22)*C23*E23</f>
        <v>4.1667817596976776E-3</v>
      </c>
      <c r="H23" s="25"/>
      <c r="I23" s="25">
        <f>PRODUCT($D$4:D22)*E22</f>
        <v>0.87602244261663353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45">
        <f>'základné pravdepodobnosti 2021'!C55</f>
        <v>5.3683226934888488E-3</v>
      </c>
      <c r="D24" s="34">
        <f t="shared" si="0"/>
        <v>0.99463167730651114</v>
      </c>
      <c r="E24" s="34">
        <f t="shared" si="1"/>
        <v>0.90056010374791418</v>
      </c>
      <c r="F24" s="47">
        <f>(PRODUCT($D$4:D23)-PRODUCT($D$4:D24))*E24</f>
        <v>4.6338364758096518E-3</v>
      </c>
      <c r="G24" s="47">
        <f>PRODUCT($D$4:D23)*C24*E24</f>
        <v>4.6338364758096197E-3</v>
      </c>
      <c r="H24" s="25"/>
      <c r="I24" s="25">
        <f>PRODUCT($D$4:D23)*E23</f>
        <v>0.86749734024690295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45">
        <f>'základné pravdepodobnosti 2021'!C56</f>
        <v>5.8385840569370583E-3</v>
      </c>
      <c r="D25" s="34">
        <f t="shared" si="0"/>
        <v>0.99416141594306295</v>
      </c>
      <c r="E25" s="34">
        <f t="shared" si="1"/>
        <v>0.89607970522180524</v>
      </c>
      <c r="F25" s="47">
        <f>(PRODUCT($D$4:D24)-PRODUCT($D$4:D25))*E25</f>
        <v>4.9877634922025574E-3</v>
      </c>
      <c r="G25" s="47">
        <f>PRODUCT($D$4:D24)*C25*E25</f>
        <v>4.9877634922025757E-3</v>
      </c>
      <c r="H25" s="25"/>
      <c r="I25" s="25">
        <f>PRODUCT($D$4:D24)*E24</f>
        <v>0.85854759660568614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45">
        <f>'základné pravdepodobnosti 2021'!C57</f>
        <v>6.3944107580785536E-3</v>
      </c>
      <c r="D26" s="34">
        <f t="shared" si="0"/>
        <v>0.99360558924192144</v>
      </c>
      <c r="E26" s="34">
        <f t="shared" si="1"/>
        <v>0.89162159723562728</v>
      </c>
      <c r="F26" s="47">
        <f>(PRODUCT($D$4:D25)-PRODUCT($D$4:D26))*E26</f>
        <v>5.4036808103580646E-3</v>
      </c>
      <c r="G26" s="47">
        <f>PRODUCT($D$4:D25)*C26*E26</f>
        <v>5.4036808103580889E-3</v>
      </c>
      <c r="H26" s="25"/>
      <c r="I26" s="25">
        <f>PRODUCT($D$4:D25)*E25</f>
        <v>0.84928845203584336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45">
        <f>'základné pravdepodobnosti 2021'!C58</f>
        <v>6.9856464825959509E-3</v>
      </c>
      <c r="D27" s="34">
        <f t="shared" si="0"/>
        <v>0.99301435351740408</v>
      </c>
      <c r="E27" s="34">
        <f t="shared" si="1"/>
        <v>0.88718566889117134</v>
      </c>
      <c r="F27" s="47">
        <f>(PRODUCT($D$4:D26)-PRODUCT($D$4:D27))*E27</f>
        <v>5.8363822111416304E-3</v>
      </c>
      <c r="G27" s="47">
        <f>PRODUCT($D$4:D26)*C27*E27</f>
        <v>5.8363822111416755E-3</v>
      </c>
      <c r="H27" s="25"/>
      <c r="I27" s="25">
        <f>PRODUCT($D$4:D26)*E26</f>
        <v>0.83965945554371513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45">
        <f>'základné pravdepodobnosti 2021'!C59</f>
        <v>7.9751758402779125E-3</v>
      </c>
      <c r="D28" s="34">
        <f t="shared" si="0"/>
        <v>0.99202482415972204</v>
      </c>
      <c r="E28" s="34">
        <f t="shared" si="1"/>
        <v>0.8827718098419618</v>
      </c>
      <c r="F28" s="47">
        <f>(PRODUCT($D$4:D27)-PRODUCT($D$4:D28))*E28</f>
        <v>6.5836517894469907E-3</v>
      </c>
      <c r="G28" s="47">
        <f>PRODUCT($D$4:D27)*C28*E28</f>
        <v>6.5836517894469889E-3</v>
      </c>
      <c r="H28" s="25"/>
      <c r="I28" s="25">
        <f>PRODUCT($D$4:D27)*E27</f>
        <v>0.82964566310598775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45">
        <f>'základné pravdepodobnosti 2021'!C60</f>
        <v>8.9823729596385515E-3</v>
      </c>
      <c r="D29" s="34">
        <f t="shared" si="0"/>
        <v>0.99101762704036145</v>
      </c>
      <c r="E29" s="34">
        <f t="shared" si="1"/>
        <v>0.87837991029050932</v>
      </c>
      <c r="F29" s="47">
        <f>(PRODUCT($D$4:D28)-PRODUCT($D$4:D29))*E29</f>
        <v>7.3193775109293381E-3</v>
      </c>
      <c r="G29" s="47">
        <f>PRODUCT($D$4:D28)*C29*E29</f>
        <v>7.319377510929306E-3</v>
      </c>
      <c r="H29" s="25"/>
      <c r="I29" s="25">
        <f>PRODUCT($D$4:D28)*E28</f>
        <v>0.81893442095282964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45">
        <f>'základné pravdepodobnosti 2021'!C61</f>
        <v>9.8472600277920534E-3</v>
      </c>
      <c r="D30" s="34">
        <f t="shared" si="0"/>
        <v>0.99015273997220798</v>
      </c>
      <c r="E30" s="34">
        <f t="shared" si="1"/>
        <v>0.87400986098558153</v>
      </c>
      <c r="F30" s="47">
        <f>(PRODUCT($D$4:D29)-PRODUCT($D$4:D30))*E30</f>
        <v>7.9125011719236409E-3</v>
      </c>
      <c r="G30" s="47">
        <f>PRODUCT($D$4:D29)*C30*E30</f>
        <v>7.9125011719236461E-3</v>
      </c>
      <c r="H30" s="25"/>
      <c r="I30" s="25">
        <f>PRODUCT($D$4:D29)*E29</f>
        <v>0.80754074284014499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45">
        <f>'základné pravdepodobnosti 2021'!C62</f>
        <v>1.062509620253387E-2</v>
      </c>
      <c r="D31" s="34">
        <f t="shared" si="0"/>
        <v>0.98937490379746618</v>
      </c>
      <c r="E31" s="34">
        <f t="shared" si="1"/>
        <v>0.86966155321948435</v>
      </c>
      <c r="F31" s="47">
        <f>(PRODUCT($D$4:D30)-PRODUCT($D$4:D31))*E31</f>
        <v>8.4113825287067505E-3</v>
      </c>
      <c r="G31" s="47">
        <f>PRODUCT($D$4:D30)*C31*E31</f>
        <v>8.4113825287068008E-3</v>
      </c>
      <c r="H31" s="25"/>
      <c r="I31" s="25">
        <f>PRODUCT($D$4:D30)*E30</f>
        <v>0.7956106260322009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45">
        <f>'základné pravdepodobnosti 2021'!C63</f>
        <v>1.1532022872793221E-2</v>
      </c>
      <c r="D32" s="34">
        <f t="shared" si="0"/>
        <v>0.9884679771272068</v>
      </c>
      <c r="E32" s="34">
        <f t="shared" si="1"/>
        <v>0.86533487882535765</v>
      </c>
      <c r="F32" s="47">
        <f>(PRODUCT($D$4:D31)-PRODUCT($D$4:D32))*E32</f>
        <v>8.9874158364884587E-3</v>
      </c>
      <c r="G32" s="47">
        <f>PRODUCT($D$4:D31)*C32*E32</f>
        <v>8.987415836488457E-3</v>
      </c>
      <c r="H32" s="25"/>
      <c r="I32" s="25">
        <f>PRODUCT($D$4:D31)*E31</f>
        <v>0.78324098168243861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45">
        <f>'základné pravdepodobnosti 2021'!C64</f>
        <v>1.282132401342323E-2</v>
      </c>
      <c r="D33" s="34">
        <f t="shared" si="0"/>
        <v>0.98717867598657683</v>
      </c>
      <c r="E33" s="34">
        <f t="shared" si="1"/>
        <v>0.86102973017448536</v>
      </c>
      <c r="F33" s="47">
        <f>(PRODUCT($D$4:D32)-PRODUCT($D$4:D33))*E33</f>
        <v>9.8278554326940576E-3</v>
      </c>
      <c r="G33" s="47">
        <f>PRODUCT($D$4:D32)*C33*E33</f>
        <v>9.8278554326940749E-3</v>
      </c>
      <c r="H33" s="25"/>
      <c r="I33" s="25">
        <f>PRODUCT($D$4:D32)*E32</f>
        <v>0.77035684454404751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45">
        <f>'základné pravdepodobnosti 2021'!C65</f>
        <v>1.3993820694014239E-2</v>
      </c>
      <c r="D34" s="34">
        <f t="shared" si="0"/>
        <v>0.98600617930598577</v>
      </c>
      <c r="E34" s="34">
        <f t="shared" si="1"/>
        <v>0.85674600017361746</v>
      </c>
      <c r="F34" s="47">
        <f>(PRODUCT($D$4:D33)-PRODUCT($D$4:D34))*E34</f>
        <v>1.0536391336838724E-2</v>
      </c>
      <c r="G34" s="47">
        <f>PRODUCT($D$4:D33)*C34*E34</f>
        <v>1.0536391336838724E-2</v>
      </c>
      <c r="H34" s="25"/>
      <c r="I34" s="25">
        <f>PRODUCT($D$4:D33)*E33</f>
        <v>0.75669636799421902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45">
        <f>'základné pravdepodobnosti 2021'!C66</f>
        <v>1.5789362132141549E-2</v>
      </c>
      <c r="D35" s="25">
        <f t="shared" si="0"/>
        <v>0.98421063786785845</v>
      </c>
      <c r="E35" s="25">
        <f t="shared" si="1"/>
        <v>0.85248358226230603</v>
      </c>
      <c r="F35" s="47">
        <f>(PRODUCT($D$4:D34)-PRODUCT($D$4:D35))*E35</f>
        <v>1.1663630370992592E-2</v>
      </c>
      <c r="G35" s="47">
        <f>PRODUCT($D$4:D34)*C35*E35</f>
        <v>1.1663630370992549E-2</v>
      </c>
      <c r="H35" s="25"/>
      <c r="I35" s="25">
        <f>PRODUCT($D$4:D34)*E34</f>
        <v>0.74239531811014559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45">
        <f>'základné pravdepodobnosti 2021'!C67</f>
        <v>1.7491725665991654E-2</v>
      </c>
      <c r="D36" s="25">
        <f t="shared" si="0"/>
        <v>0.98250827433400834</v>
      </c>
      <c r="E36" s="25">
        <f t="shared" si="1"/>
        <v>0.84824237041025496</v>
      </c>
      <c r="F36" s="47">
        <f>(PRODUCT($D$4:D35)-PRODUCT($D$4:D36))*E36</f>
        <v>1.2653882955636537E-2</v>
      </c>
      <c r="G36" s="47">
        <f>PRODUCT($D$4:D35)*C36*E36</f>
        <v>1.2653882955636495E-2</v>
      </c>
      <c r="H36" s="25"/>
      <c r="I36" s="25">
        <f>PRODUCT($D$4:D35)*E35</f>
        <v>0.72703817869382892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45">
        <f>'základné pravdepodobnosti 2021'!C68</f>
        <v>1.921968630142732E-2</v>
      </c>
      <c r="D37" s="25">
        <f t="shared" si="0"/>
        <v>0.98078031369857266</v>
      </c>
      <c r="E37" s="25">
        <f t="shared" si="1"/>
        <v>0.84402225911468165</v>
      </c>
      <c r="F37" s="47">
        <f>(PRODUCT($D$4:D36)-PRODUCT($D$4:D37))*E37</f>
        <v>1.3592758639092775E-2</v>
      </c>
      <c r="G37" s="47">
        <f>PRODUCT($D$4:D36)*C37*E37</f>
        <v>1.3592758639092728E-2</v>
      </c>
      <c r="H37" s="25"/>
      <c r="I37" s="25">
        <f>PRODUCT($D$4:D36)*E36</f>
        <v>0.71076719037155667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45">
        <f>'základné pravdepodobnosti 2021'!C69</f>
        <v>2.0487828410334794E-2</v>
      </c>
      <c r="D38" s="25">
        <f>1-C38</f>
        <v>0.97951217158966519</v>
      </c>
      <c r="E38" s="25">
        <f t="shared" si="1"/>
        <v>0.83982314339769315</v>
      </c>
      <c r="F38" s="47">
        <f>(PRODUCT($D$4:D37)-PRODUCT($D$4:D38))*E38</f>
        <v>1.4140439789979758E-2</v>
      </c>
      <c r="G38" s="47">
        <f>PRODUCT($D$4:D37)*C38*E38</f>
        <v>1.4140439789979737E-2</v>
      </c>
      <c r="H38" s="25"/>
      <c r="I38" s="25">
        <f>PRODUCT($D$4:D37)*E37</f>
        <v>0.69363827655648602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45">
        <f>'základné pravdepodobnosti 2021'!C70</f>
        <v>2.1782008215735317E-2</v>
      </c>
      <c r="D39" s="25">
        <f t="shared" si="0"/>
        <v>0.97821799178426472</v>
      </c>
      <c r="E39" s="25">
        <f t="shared" si="1"/>
        <v>0.83564491880367509</v>
      </c>
      <c r="F39" s="47">
        <f>(PRODUCT($D$4:D38)-PRODUCT($D$4:D39))*E39</f>
        <v>1.4652397145757797E-2</v>
      </c>
      <c r="G39" s="47">
        <f>PRODUCT($D$4:D38)*C39*E39</f>
        <v>1.4652397145757801E-2</v>
      </c>
      <c r="H39" s="25"/>
      <c r="I39" s="25">
        <f>PRODUCT($D$4:D38)*E38</f>
        <v>0.67604690006722024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45">
        <f>'základné pravdepodobnosti 2021'!C71</f>
        <v>2.3345392397782359E-2</v>
      </c>
      <c r="D40" s="25">
        <f>1-C40</f>
        <v>0.97665460760221767</v>
      </c>
      <c r="E40" s="25">
        <f>1/(1+$E$2/100)^B40</f>
        <v>0.83148748139669182</v>
      </c>
      <c r="F40" s="47">
        <f>(PRODUCT($D$4:D39)-PRODUCT($D$4:D40))*E40</f>
        <v>1.5285566070773582E-2</v>
      </c>
      <c r="G40" s="47">
        <f>PRODUCT($D$4:D39)*C40*E40</f>
        <v>1.5285566070773575E-2</v>
      </c>
      <c r="H40" s="25"/>
      <c r="I40" s="25">
        <f>PRODUCT($D$4:D39)*E39</f>
        <v>0.65803108550819289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45">
        <f>'základné pravdepodobnosti 2021'!C72</f>
        <v>2.5277617903692692E-2</v>
      </c>
      <c r="D41" s="25">
        <f t="shared" si="0"/>
        <v>0.97472238209630735</v>
      </c>
      <c r="E41" s="25">
        <f t="shared" si="1"/>
        <v>0.8273507277579023</v>
      </c>
      <c r="F41" s="47">
        <f>(PRODUCT($D$4:D40)-PRODUCT($D$4:D41))*E41</f>
        <v>1.6083902612466706E-2</v>
      </c>
      <c r="G41" s="47">
        <f>PRODUCT($D$4:D40)*C41*E41</f>
        <v>1.6083902612466703E-2</v>
      </c>
      <c r="H41" s="25"/>
      <c r="I41" s="25">
        <f>PRODUCT($D$4:D40)*E40</f>
        <v>0.63947173294235382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45">
        <f>'základné pravdepodobnosti 2021'!C73</f>
        <v>2.8097097063730259E-2</v>
      </c>
      <c r="D42" s="25">
        <f t="shared" si="0"/>
        <v>0.9719029029362698</v>
      </c>
      <c r="E42" s="25">
        <f t="shared" si="1"/>
        <v>0.82323455498298748</v>
      </c>
      <c r="F42" s="47">
        <f>(PRODUCT($D$4:D41)-PRODUCT($D$4:D42))*E42</f>
        <v>1.7339302316539344E-2</v>
      </c>
      <c r="G42" s="47">
        <f>PRODUCT($D$4:D41)*C42*E42</f>
        <v>1.7339302316539414E-2</v>
      </c>
      <c r="H42" s="25"/>
      <c r="I42" s="25">
        <f>PRODUCT($D$4:D41)*E41</f>
        <v>0.62020637892221375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69</v>
      </c>
      <c r="B43" s="1">
        <v>40</v>
      </c>
      <c r="C43" s="45">
        <f>'základné pravdepodobnosti 2021'!C74</f>
        <v>3.1015541214860165E-2</v>
      </c>
      <c r="D43" s="25">
        <f t="shared" si="0"/>
        <v>0.96898445878513983</v>
      </c>
      <c r="E43" s="48">
        <f>1/(1+$E$2/100)^B43</f>
        <v>0.81913886067958963</v>
      </c>
      <c r="F43" s="47">
        <f>(PRODUCT($D$4:D42)-PRODUCT($D$4:D43))*E43</f>
        <v>1.8509997002368637E-2</v>
      </c>
      <c r="G43" s="47">
        <f>PRODUCT($D$4:D42)*C43*E43</f>
        <v>1.8509997002368637E-2</v>
      </c>
      <c r="H43" s="25"/>
      <c r="I43" s="25">
        <f>PRODUCT($D$4:D42)*E42</f>
        <v>0.59978147273043958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/>
      <c r="B44" s="1"/>
      <c r="C44" s="2"/>
      <c r="D44" s="22"/>
      <c r="E44" s="22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/>
      <c r="B45" s="21"/>
      <c r="C45" s="20"/>
      <c r="D45" s="22"/>
      <c r="E45" s="2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</row>
    <row r="73" spans="1:18" x14ac:dyDescent="0.25">
      <c r="A73" s="21"/>
      <c r="B73" s="21"/>
      <c r="C73" s="20"/>
      <c r="D73" s="22"/>
      <c r="E73" s="22"/>
    </row>
    <row r="74" spans="1:18" x14ac:dyDescent="0.25">
      <c r="A74" s="21"/>
      <c r="B74" s="21"/>
      <c r="C74" s="20"/>
      <c r="D74" s="22"/>
      <c r="E74" s="22"/>
    </row>
    <row r="75" spans="1:18" x14ac:dyDescent="0.25">
      <c r="A75" s="21"/>
      <c r="B75" s="21"/>
      <c r="C75" s="20"/>
      <c r="D75" s="22"/>
      <c r="E75" s="22"/>
    </row>
    <row r="76" spans="1:18" x14ac:dyDescent="0.25">
      <c r="A76" s="21"/>
      <c r="B76" s="21"/>
      <c r="C76" s="20"/>
      <c r="D76" s="22"/>
      <c r="E76" s="22"/>
    </row>
    <row r="77" spans="1:18" x14ac:dyDescent="0.25">
      <c r="A77" s="21"/>
      <c r="B77" s="21"/>
      <c r="C77" s="20"/>
      <c r="D77" s="22"/>
      <c r="E77" s="22"/>
    </row>
    <row r="78" spans="1:18" x14ac:dyDescent="0.25">
      <c r="A78" s="21"/>
      <c r="B78" s="21"/>
      <c r="C78" s="20"/>
      <c r="D78" s="22"/>
      <c r="E78" s="22"/>
    </row>
    <row r="79" spans="1:18" x14ac:dyDescent="0.25">
      <c r="A79" s="21"/>
      <c r="B79" s="21"/>
      <c r="C79" s="20"/>
      <c r="D79" s="22"/>
      <c r="E79" s="22"/>
    </row>
    <row r="80" spans="1:18" x14ac:dyDescent="0.25">
      <c r="A80" s="21"/>
      <c r="B80" s="21"/>
      <c r="C80" s="20"/>
      <c r="D80" s="22"/>
      <c r="E80" s="22"/>
    </row>
    <row r="81" spans="1:5" x14ac:dyDescent="0.25">
      <c r="A81" s="21"/>
      <c r="B81" s="21"/>
      <c r="C81" s="20"/>
      <c r="D81" s="22"/>
      <c r="E81" s="22"/>
    </row>
    <row r="82" spans="1:5" x14ac:dyDescent="0.25">
      <c r="A82" s="1"/>
      <c r="B82" s="1"/>
      <c r="C82" s="2"/>
      <c r="D82" s="3"/>
      <c r="E82" s="3"/>
    </row>
    <row r="83" spans="1:5" x14ac:dyDescent="0.25">
      <c r="A83" s="1"/>
      <c r="B83" s="1"/>
      <c r="C83" s="2"/>
      <c r="D83" s="3"/>
      <c r="E83" s="3"/>
    </row>
    <row r="84" spans="1:5" x14ac:dyDescent="0.25">
      <c r="A84" s="1"/>
      <c r="B84" s="1"/>
      <c r="C84" s="2"/>
      <c r="D84" s="3"/>
      <c r="E84" s="3"/>
    </row>
    <row r="85" spans="1:5" x14ac:dyDescent="0.25">
      <c r="A85" s="1"/>
      <c r="B85" s="1"/>
      <c r="C85" s="2"/>
      <c r="D85" s="3"/>
      <c r="E85" s="3"/>
    </row>
    <row r="86" spans="1:5" x14ac:dyDescent="0.25">
      <c r="A86" s="1"/>
      <c r="B86" s="1"/>
      <c r="C86" s="2"/>
      <c r="D86" s="3"/>
      <c r="E86" s="3"/>
    </row>
    <row r="87" spans="1:5" x14ac:dyDescent="0.25">
      <c r="A87" s="1"/>
      <c r="B87" s="1"/>
      <c r="C87" s="2"/>
      <c r="D87" s="3"/>
      <c r="E87" s="3"/>
    </row>
    <row r="88" spans="1:5" x14ac:dyDescent="0.25">
      <c r="A88" s="1"/>
      <c r="B88" s="1"/>
      <c r="C88" s="2"/>
      <c r="D88" s="3"/>
      <c r="E88" s="3"/>
    </row>
    <row r="89" spans="1:5" x14ac:dyDescent="0.25">
      <c r="A89" s="1"/>
      <c r="B89" s="1"/>
      <c r="C89" s="2"/>
      <c r="D89" s="3"/>
      <c r="E89" s="3"/>
    </row>
    <row r="90" spans="1:5" x14ac:dyDescent="0.25">
      <c r="A90" s="1"/>
      <c r="B90" s="1"/>
      <c r="C90" s="2"/>
      <c r="D90" s="3"/>
      <c r="E90" s="3"/>
    </row>
    <row r="91" spans="1:5" x14ac:dyDescent="0.25">
      <c r="A91" s="1"/>
      <c r="B91" s="1"/>
      <c r="C91" s="2"/>
      <c r="D91" s="3"/>
      <c r="E91" s="3"/>
    </row>
    <row r="92" spans="1:5" x14ac:dyDescent="0.25">
      <c r="A92" s="1"/>
      <c r="B92" s="1"/>
      <c r="C92" s="2"/>
      <c r="D92" s="3"/>
      <c r="E92" s="3"/>
    </row>
    <row r="93" spans="1:5" x14ac:dyDescent="0.25">
      <c r="A93" s="1"/>
      <c r="B93" s="1"/>
      <c r="C93" s="2"/>
      <c r="D93" s="3"/>
      <c r="E93" s="3"/>
    </row>
    <row r="94" spans="1:5" x14ac:dyDescent="0.25">
      <c r="A94" s="1"/>
      <c r="B94" s="1"/>
      <c r="C94" s="2"/>
      <c r="D94" s="3"/>
      <c r="E94" s="3"/>
    </row>
    <row r="95" spans="1:5" x14ac:dyDescent="0.25">
      <c r="A95" s="1"/>
      <c r="B95" s="1"/>
      <c r="C95" s="2"/>
      <c r="D95" s="3"/>
      <c r="E95" s="3"/>
    </row>
    <row r="96" spans="1:5" x14ac:dyDescent="0.25">
      <c r="A96" s="1"/>
      <c r="B96" s="1"/>
      <c r="C96" s="2"/>
      <c r="D96" s="3"/>
      <c r="E96" s="3"/>
    </row>
    <row r="97" spans="1:5" x14ac:dyDescent="0.25">
      <c r="A97" s="1"/>
      <c r="B97" s="1"/>
      <c r="C97" s="2"/>
      <c r="D97" s="3"/>
      <c r="E97" s="3"/>
    </row>
    <row r="98" spans="1:5" x14ac:dyDescent="0.25">
      <c r="A98" s="1"/>
      <c r="B98" s="1"/>
      <c r="C98" s="2"/>
      <c r="D98" s="3"/>
      <c r="E98" s="3"/>
    </row>
    <row r="99" spans="1:5" x14ac:dyDescent="0.25">
      <c r="A99" s="1"/>
      <c r="B99" s="1"/>
      <c r="C99" s="2"/>
      <c r="D99" s="3"/>
      <c r="E99" s="3"/>
    </row>
    <row r="100" spans="1:5" x14ac:dyDescent="0.25">
      <c r="A100" s="1"/>
      <c r="B100" s="1"/>
      <c r="C100" s="2"/>
      <c r="D100" s="3"/>
      <c r="E100" s="3"/>
    </row>
    <row r="101" spans="1:5" x14ac:dyDescent="0.25">
      <c r="A101" s="1"/>
      <c r="B101" s="1"/>
      <c r="C101" s="2"/>
      <c r="D101" s="3"/>
      <c r="E101" s="3"/>
    </row>
    <row r="102" spans="1:5" x14ac:dyDescent="0.25">
      <c r="A102" s="1"/>
      <c r="B102" s="1"/>
      <c r="C102" s="2"/>
      <c r="D102" s="3"/>
      <c r="E102" s="3"/>
    </row>
    <row r="103" spans="1:5" x14ac:dyDescent="0.25">
      <c r="A103" s="1"/>
      <c r="B103" s="1"/>
      <c r="C103" s="2"/>
      <c r="D103" s="3"/>
      <c r="E103" s="3"/>
    </row>
    <row r="104" spans="1:5" x14ac:dyDescent="0.25">
      <c r="A104" s="1"/>
      <c r="B104" s="1"/>
      <c r="C104" s="2"/>
      <c r="D104" s="3"/>
      <c r="E104" s="3"/>
    </row>
    <row r="105" spans="1:5" x14ac:dyDescent="0.25">
      <c r="A105" s="1"/>
      <c r="B105" s="1"/>
      <c r="C105" s="2"/>
      <c r="D105" s="3"/>
      <c r="E105" s="3"/>
    </row>
    <row r="106" spans="1:5" x14ac:dyDescent="0.25">
      <c r="A106" s="1"/>
      <c r="B106" s="1"/>
      <c r="C106" s="2"/>
      <c r="D106" s="3"/>
      <c r="E106" s="3"/>
    </row>
    <row r="107" spans="1:5" x14ac:dyDescent="0.25">
      <c r="A107" s="1"/>
      <c r="B107" s="1"/>
      <c r="C107" s="2"/>
      <c r="D107" s="3"/>
      <c r="E107" s="3"/>
    </row>
    <row r="108" spans="1:5" x14ac:dyDescent="0.25">
      <c r="A108" s="1"/>
      <c r="B108" s="1"/>
      <c r="C108" s="2"/>
      <c r="D108" s="3"/>
      <c r="E108" s="3"/>
    </row>
    <row r="109" spans="1:5" x14ac:dyDescent="0.25">
      <c r="A109" s="1"/>
      <c r="B109" s="1"/>
      <c r="C109" s="2"/>
      <c r="D109" s="3"/>
      <c r="E109" s="3"/>
    </row>
  </sheetData>
  <mergeCells count="1">
    <mergeCell ref="P8:Q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zoomScale="180" zoomScaleNormal="180" workbookViewId="0">
      <selection activeCell="C4" sqref="C4"/>
    </sheetView>
  </sheetViews>
  <sheetFormatPr defaultRowHeight="15" x14ac:dyDescent="0.25"/>
  <cols>
    <col min="1" max="1" width="6.85546875" customWidth="1"/>
    <col min="2" max="2" width="6.5703125" customWidth="1"/>
    <col min="3" max="3" width="10.85546875" bestFit="1" customWidth="1"/>
    <col min="4" max="4" width="11.7109375" customWidth="1"/>
    <col min="5" max="5" width="12.42578125" customWidth="1"/>
    <col min="6" max="7" width="13.28515625" customWidth="1"/>
    <col min="8" max="8" width="14.5703125" customWidth="1"/>
    <col min="9" max="9" width="14" customWidth="1"/>
    <col min="10" max="10" width="12.42578125" customWidth="1"/>
    <col min="11" max="11" width="31.42578125" customWidth="1"/>
    <col min="12" max="12" width="23.140625" customWidth="1"/>
    <col min="13" max="13" width="8" customWidth="1"/>
    <col min="15" max="16" width="13.28515625" customWidth="1"/>
    <col min="18" max="18" width="9.7109375" bestFit="1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14">
        <v>0.5</v>
      </c>
      <c r="F2" s="23"/>
      <c r="G2" s="23"/>
      <c r="H2" s="23"/>
    </row>
    <row r="3" spans="1:20" x14ac:dyDescent="0.25">
      <c r="A3" s="15" t="s">
        <v>0</v>
      </c>
      <c r="B3" s="15" t="s">
        <v>2</v>
      </c>
      <c r="E3" s="10" t="s">
        <v>6</v>
      </c>
      <c r="F3" s="50">
        <f>SUM(F4:F43)</f>
        <v>0.1699207066290303</v>
      </c>
      <c r="G3" s="50"/>
      <c r="H3" s="70"/>
      <c r="I3" s="5">
        <f>SUM(I4:I43)</f>
        <v>34.764917689628518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17">
        <v>6.351877757641227E-4</v>
      </c>
      <c r="D4" s="34">
        <f>1-C4</f>
        <v>0.9993648122242359</v>
      </c>
      <c r="E4" s="34">
        <f>1/(1+$E$2/100)^B4</f>
        <v>0.99502487562189068</v>
      </c>
      <c r="F4" s="49">
        <f>C4*E4</f>
        <v>6.3202763757624154E-4</v>
      </c>
      <c r="G4" s="49">
        <f>C4*E4</f>
        <v>6.3202763757624154E-4</v>
      </c>
      <c r="H4" s="53">
        <f>B1*F3</f>
        <v>1699.2070662903031</v>
      </c>
      <c r="I4" s="25">
        <f>1</f>
        <v>1</v>
      </c>
      <c r="J4" s="24">
        <f>B1*F3/I3</f>
        <v>48.877062832719744</v>
      </c>
      <c r="K4" s="25">
        <f>PRODUCT(D4:D43)*E43</f>
        <v>0.65711950387033558</v>
      </c>
      <c r="L4" s="25">
        <f>I3-11/24*(1-K4)</f>
        <v>34.607764128902424</v>
      </c>
      <c r="M4" s="8">
        <f>B1*F3/(12*L4)</f>
        <v>4.0915844297282575</v>
      </c>
      <c r="N4" s="5"/>
      <c r="O4" s="49">
        <f>PRODUCT(D4:D43)*E43</f>
        <v>0.65711950387033558</v>
      </c>
      <c r="P4" s="9">
        <f>B1*O4/I3</f>
        <v>189.01799501926484</v>
      </c>
      <c r="Q4" s="5">
        <f>O4/(12*L4)</f>
        <v>1.5823027009748058E-3</v>
      </c>
      <c r="R4" s="8">
        <f>B1*O4</f>
        <v>6571.1950387033557</v>
      </c>
      <c r="S4" s="36">
        <f>R4/(12*L4)</f>
        <v>15.823027009748058</v>
      </c>
      <c r="T4" s="36">
        <f>B1*(O4+K9/100+K10/100*L4)/(12*(1-K11/100)*L4)</f>
        <v>18.882487303731345</v>
      </c>
    </row>
    <row r="5" spans="1:20" x14ac:dyDescent="0.25">
      <c r="A5" s="1">
        <v>31</v>
      </c>
      <c r="B5" s="1">
        <v>2</v>
      </c>
      <c r="C5" s="17">
        <v>6.4575519800419109E-4</v>
      </c>
      <c r="D5" s="34">
        <f t="shared" ref="D5:D43" si="0">1-C5</f>
        <v>0.99935424480199586</v>
      </c>
      <c r="E5" s="34">
        <f>1/(1+$E$2/100)^B5</f>
        <v>0.99007450310635903</v>
      </c>
      <c r="F5" s="46">
        <f>(D4-PRODUCT(D4:D5))*E5</f>
        <v>6.3893965218312851E-4</v>
      </c>
      <c r="G5" s="46">
        <f>D4*C5*E5</f>
        <v>6.3893965218314683E-4</v>
      </c>
      <c r="H5" s="25"/>
      <c r="I5" s="25">
        <f>D4*E4</f>
        <v>0.99439284798431449</v>
      </c>
      <c r="J5" s="5"/>
      <c r="K5" s="5"/>
      <c r="L5" s="5"/>
      <c r="M5" s="5"/>
      <c r="N5" s="5"/>
      <c r="O5" s="5"/>
      <c r="P5" s="5"/>
      <c r="Q5" s="5"/>
      <c r="R5" s="5"/>
    </row>
    <row r="6" spans="1:20" x14ac:dyDescent="0.25">
      <c r="A6" s="1">
        <v>32</v>
      </c>
      <c r="B6" s="1">
        <v>3</v>
      </c>
      <c r="C6" s="17">
        <v>7.0733642614240026E-4</v>
      </c>
      <c r="D6" s="34">
        <f t="shared" si="0"/>
        <v>0.9992926635738576</v>
      </c>
      <c r="E6" s="34">
        <f>1/(1+$E$2/100)^B6</f>
        <v>0.98514875930981005</v>
      </c>
      <c r="F6" s="47">
        <f>(PRODUCT($D$4:D5)-PRODUCT($D$4:D6))*E6</f>
        <v>6.9593928690697075E-4</v>
      </c>
      <c r="G6" s="47">
        <f>PRODUCT($D$4:D5)*C6*E6</f>
        <v>6.9593928690699926E-4</v>
      </c>
      <c r="H6" s="25"/>
      <c r="I6" s="25">
        <f>PRODUCT($D$4:D5)*E5</f>
        <v>0.98880668023270701</v>
      </c>
      <c r="J6" s="24"/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17">
        <v>7.0995550128589362E-4</v>
      </c>
      <c r="D7" s="34">
        <f t="shared" si="0"/>
        <v>0.99929004449871406</v>
      </c>
      <c r="E7" s="34">
        <f t="shared" ref="E7:E42" si="1">1/(1+$E$2/100)^B7</f>
        <v>0.9802475217013038</v>
      </c>
      <c r="F7" s="47">
        <f>(PRODUCT($D$4:D6)-PRODUCT($D$4:D7))*E7</f>
        <v>6.9454932896174731E-4</v>
      </c>
      <c r="G7" s="47">
        <f>PRODUCT($D$4:D6)*C7*E7</f>
        <v>6.945493289616841E-4</v>
      </c>
      <c r="H7" s="25"/>
      <c r="I7" s="25">
        <f>PRODUCT($D$4:D6)*E6</f>
        <v>0.9831913047257369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17">
        <v>7.594134502938465E-4</v>
      </c>
      <c r="D8" s="34">
        <f t="shared" si="0"/>
        <v>0.99924058654970616</v>
      </c>
      <c r="E8" s="34">
        <f>1/(1+$E$2/100)^B8</f>
        <v>0.97537066835950648</v>
      </c>
      <c r="F8" s="47">
        <f>(PRODUCT($D$4:D7)-PRODUCT($D$4:D8))*E8</f>
        <v>7.387130156856508E-4</v>
      </c>
      <c r="G8" s="47">
        <f>PRODUCT($D$4:D7)*C8*E8</f>
        <v>7.3871301568561492E-4</v>
      </c>
      <c r="H8" s="25"/>
      <c r="I8" s="25">
        <f>PRODUCT($D$4:D7)*E7</f>
        <v>0.97760525636828921</v>
      </c>
      <c r="J8" s="5"/>
      <c r="K8" s="5"/>
      <c r="L8" s="5"/>
      <c r="M8" s="5"/>
      <c r="N8" s="5"/>
      <c r="O8" s="5"/>
      <c r="P8" s="245" t="s">
        <v>15</v>
      </c>
      <c r="Q8" s="245"/>
      <c r="R8" s="5"/>
      <c r="S8" t="s">
        <v>23</v>
      </c>
    </row>
    <row r="9" spans="1:20" x14ac:dyDescent="0.25">
      <c r="A9" s="1">
        <v>35</v>
      </c>
      <c r="B9" s="1">
        <v>6</v>
      </c>
      <c r="C9" s="17">
        <v>8.279802028143497E-4</v>
      </c>
      <c r="D9" s="34">
        <f>1-C9</f>
        <v>0.99917201979718562</v>
      </c>
      <c r="E9" s="34">
        <f t="shared" si="1"/>
        <v>0.97051807796965839</v>
      </c>
      <c r="F9" s="47">
        <f>(PRODUCT($D$4:D8)-PRODUCT($D$4:D9))*E9</f>
        <v>8.0079512931753485E-4</v>
      </c>
      <c r="G9" s="47">
        <f>PRODUCT($D$4:D8)*C9*E9</f>
        <v>8.0079512931747132E-4</v>
      </c>
      <c r="H9" s="25"/>
      <c r="I9" s="25">
        <f>PRODUCT($D$4:D8)*E8</f>
        <v>0.97200283560947787</v>
      </c>
      <c r="J9" s="40" t="s">
        <v>13</v>
      </c>
      <c r="K9" s="27">
        <v>5</v>
      </c>
      <c r="L9" s="5"/>
      <c r="M9" s="5"/>
      <c r="N9" s="5"/>
      <c r="O9" s="5"/>
      <c r="P9" s="8">
        <f>(H4+R4)/I3</f>
        <v>237.89505785198457</v>
      </c>
      <c r="Q9" s="5"/>
      <c r="R9" s="5"/>
      <c r="S9" s="36">
        <f>B1*(O4+F3+K9/100+K10/100*I3)/((1-K11/100)*I3)</f>
        <v>275.02764942791765</v>
      </c>
    </row>
    <row r="10" spans="1:20" x14ac:dyDescent="0.25">
      <c r="A10" s="1">
        <v>36</v>
      </c>
      <c r="B10" s="1">
        <v>7</v>
      </c>
      <c r="C10" s="17">
        <v>9.3958852840120614E-4</v>
      </c>
      <c r="D10" s="34">
        <f t="shared" si="0"/>
        <v>0.99906041147159874</v>
      </c>
      <c r="E10" s="34">
        <f t="shared" si="1"/>
        <v>0.96568962982055562</v>
      </c>
      <c r="F10" s="47">
        <f>(PRODUCT($D$4:D9)-PRODUCT($D$4:D10))*E10</f>
        <v>9.0346925462779504E-4</v>
      </c>
      <c r="G10" s="47">
        <f>PRODUCT($D$4:D9)*C10*E10</f>
        <v>9.0346925462777379E-4</v>
      </c>
      <c r="H10" s="25"/>
      <c r="I10" s="25">
        <f>PRODUCT($D$4:D9)*E9</f>
        <v>0.96636620547712837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17">
        <v>1.0319366344008537E-3</v>
      </c>
      <c r="D11" s="34">
        <f t="shared" si="0"/>
        <v>0.99896806336559918</v>
      </c>
      <c r="E11" s="34">
        <f t="shared" si="1"/>
        <v>0.96088520380154796</v>
      </c>
      <c r="F11" s="47">
        <f>(PRODUCT($D$4:D10)-PRODUCT($D$4:D11))*E11</f>
        <v>9.8640301481824348E-4</v>
      </c>
      <c r="G11" s="47">
        <f>PRODUCT($D$4:D10)*C11*E11</f>
        <v>9.8640301481822418E-4</v>
      </c>
      <c r="H11" s="25"/>
      <c r="I11" s="25">
        <f>PRODUCT($D$4:D10)*E10</f>
        <v>0.96065494415545016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17">
        <v>1.0464696879975339E-3</v>
      </c>
      <c r="D12" s="34">
        <f t="shared" si="0"/>
        <v>0.99895353031200251</v>
      </c>
      <c r="E12" s="34">
        <f t="shared" si="1"/>
        <v>0.95610468039955032</v>
      </c>
      <c r="F12" s="47">
        <f>(PRODUCT($D$4:D11)-PRODUCT($D$4:D12))*E12</f>
        <v>9.94291109253913E-4</v>
      </c>
      <c r="G12" s="47">
        <f>PRODUCT($D$4:D11)*C12*E12</f>
        <v>9.9429110925393924E-4</v>
      </c>
      <c r="H12" s="25"/>
      <c r="I12" s="25">
        <f>PRODUCT($D$4:D11)*E11</f>
        <v>0.95488916330901286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17">
        <v>1.0284638099251429E-3</v>
      </c>
      <c r="D13" s="34">
        <f t="shared" si="0"/>
        <v>0.99897153619007484</v>
      </c>
      <c r="E13" s="34">
        <f t="shared" si="1"/>
        <v>0.95134794069607009</v>
      </c>
      <c r="F13" s="47">
        <f>(PRODUCT($D$4:D12)-PRODUCT($D$4:D13))*E13</f>
        <v>9.7130391977280357E-4</v>
      </c>
      <c r="G13" s="47">
        <f>PRODUCT($D$4:D12)*C13*E13</f>
        <v>9.7130391977278731E-4</v>
      </c>
      <c r="H13" s="25"/>
      <c r="I13" s="25">
        <f>PRODUCT($D$4:D12)*E12</f>
        <v>0.94914417984498789</v>
      </c>
      <c r="J13" s="5"/>
      <c r="K13" s="29" t="s">
        <v>21</v>
      </c>
      <c r="L13" s="30" t="s">
        <v>8</v>
      </c>
      <c r="M13" s="5"/>
      <c r="N13" s="5"/>
      <c r="O13" s="29" t="s">
        <v>22</v>
      </c>
      <c r="P13" s="5"/>
      <c r="Q13" s="5"/>
      <c r="R13" s="5"/>
    </row>
    <row r="14" spans="1:20" x14ac:dyDescent="0.25">
      <c r="A14" s="1">
        <v>40</v>
      </c>
      <c r="B14" s="1">
        <v>11</v>
      </c>
      <c r="C14" s="17">
        <v>1.0709044775518422E-3</v>
      </c>
      <c r="D14" s="34">
        <f t="shared" si="0"/>
        <v>0.99892909552244813</v>
      </c>
      <c r="E14" s="34">
        <f t="shared" si="1"/>
        <v>0.94661486636424896</v>
      </c>
      <c r="F14" s="47">
        <f>(PRODUCT($D$4:D13)-PRODUCT($D$4:D14))*E14</f>
        <v>1.0053190539372056E-3</v>
      </c>
      <c r="G14" s="47">
        <f>PRODUCT($D$4:D13)*C14*E14</f>
        <v>1.005319053937216E-3</v>
      </c>
      <c r="H14" s="25"/>
      <c r="I14" s="25">
        <f>PRODUCT($D$4:D13)*E13</f>
        <v>0.94345076557772767</v>
      </c>
      <c r="J14" s="5"/>
      <c r="K14" s="8">
        <f>B1*(F3+K9/100+K10/100*I3)/((1-K11/100)*I3)</f>
        <v>84.100381731690518</v>
      </c>
      <c r="L14" s="8">
        <f>B1*(F3+K9/100+K10/100*L4)/(12*(1-K11/100)*L4)</f>
        <v>7.0325453037113421</v>
      </c>
      <c r="M14" s="5"/>
      <c r="N14" s="5"/>
      <c r="O14" s="8">
        <f>B1*(O4+K9/100+K10/100*I3)/((1-K11/100)*I3)</f>
        <v>225.65687888981691</v>
      </c>
      <c r="P14" s="5"/>
      <c r="Q14" s="5"/>
      <c r="R14" s="5"/>
    </row>
    <row r="15" spans="1:20" x14ac:dyDescent="0.25">
      <c r="A15" s="1">
        <v>41</v>
      </c>
      <c r="B15" s="1">
        <v>12</v>
      </c>
      <c r="C15" s="17">
        <v>1.2274063642613777E-3</v>
      </c>
      <c r="D15" s="34">
        <f t="shared" si="0"/>
        <v>0.99877259363573867</v>
      </c>
      <c r="E15" s="34">
        <f t="shared" si="1"/>
        <v>0.94190533966591972</v>
      </c>
      <c r="F15" s="47">
        <f>(PRODUCT($D$4:D14)-PRODUCT($D$4:D15))*E15</f>
        <v>1.1452759776811408E-3</v>
      </c>
      <c r="G15" s="47">
        <f>PRODUCT($D$4:D14)*C15*E15</f>
        <v>1.1452759776811785E-3</v>
      </c>
      <c r="H15" s="25"/>
      <c r="I15" s="25">
        <f>PRODUCT($D$4:D14)*E14</f>
        <v>0.93775166162041879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17">
        <v>1.4161826546013117E-3</v>
      </c>
      <c r="D16" s="34">
        <f t="shared" si="0"/>
        <v>0.99858381734539869</v>
      </c>
      <c r="E16" s="34">
        <f t="shared" si="1"/>
        <v>0.93721924344867635</v>
      </c>
      <c r="F16" s="47">
        <f>(PRODUCT($D$4:D15)-PRODUCT($D$4:D16))*E16</f>
        <v>1.3132324525988433E-3</v>
      </c>
      <c r="G16" s="47">
        <f>PRODUCT($D$4:D15)*C16*E16</f>
        <v>1.3132324525988971E-3</v>
      </c>
      <c r="H16" s="25"/>
      <c r="I16" s="25">
        <f>PRODUCT($D$4:D15)*E15</f>
        <v>0.9319409544903976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17">
        <v>1.5622393001174472E-3</v>
      </c>
      <c r="D17" s="34">
        <f t="shared" si="0"/>
        <v>0.99843776069988255</v>
      </c>
      <c r="E17" s="34">
        <f t="shared" si="1"/>
        <v>0.93255646114296176</v>
      </c>
      <c r="F17" s="47">
        <f>(PRODUCT($D$4:D16)-PRODUCT($D$4:D17))*E17</f>
        <v>1.4394227303576375E-3</v>
      </c>
      <c r="G17" s="47">
        <f>PRODUCT($D$4:D16)*C17*E17</f>
        <v>1.4394227303576514E-3</v>
      </c>
      <c r="H17" s="25"/>
      <c r="I17" s="25">
        <f>PRODUCT($D$4:D16)*E16</f>
        <v>0.92599119987615497</v>
      </c>
      <c r="J17" s="5"/>
      <c r="K17" s="5">
        <v>0.25376779119309428</v>
      </c>
      <c r="L17" s="8">
        <f>B1*(K17+K9/100+K10/100*L4)/(12*(1-K11/100)*L4)</f>
        <v>9.0719244946719009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17">
        <v>1.7069170953454866E-3</v>
      </c>
      <c r="D18" s="34">
        <f t="shared" si="0"/>
        <v>0.99829308290465446</v>
      </c>
      <c r="E18" s="34">
        <f t="shared" si="1"/>
        <v>0.92791687675916612</v>
      </c>
      <c r="F18" s="47">
        <f>(PRODUCT($D$4:D17)-PRODUCT($D$4:D18))*E18</f>
        <v>1.5624573144881933E-3</v>
      </c>
      <c r="G18" s="47">
        <f>PRODUCT($D$4:D17)*C18*E18</f>
        <v>1.5624573144881399E-3</v>
      </c>
      <c r="H18" s="25"/>
      <c r="I18" s="25">
        <f>PRODUCT($D$4:D17)*E17</f>
        <v>0.91994485575337892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17">
        <v>1.79244123660696E-3</v>
      </c>
      <c r="D19" s="34">
        <f t="shared" si="0"/>
        <v>0.99820755876339307</v>
      </c>
      <c r="E19" s="34">
        <f t="shared" si="1"/>
        <v>0.92330037488474248</v>
      </c>
      <c r="F19" s="47">
        <f>(PRODUCT($D$4:D18)-PRODUCT($D$4:D19))*E19</f>
        <v>1.6297937960656767E-3</v>
      </c>
      <c r="G19" s="47">
        <f>PRODUCT($D$4:D18)*C19*E19</f>
        <v>1.6297937960657082E-3</v>
      </c>
      <c r="H19" s="25"/>
      <c r="I19" s="25">
        <f>PRODUCT($D$4:D18)*E18</f>
        <v>0.91380555836051591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17">
        <v>1.9609889240404178E-3</v>
      </c>
      <c r="D20" s="34">
        <f t="shared" si="0"/>
        <v>0.9980390110759596</v>
      </c>
      <c r="E20" s="34">
        <f t="shared" si="1"/>
        <v>0.9187068406813359</v>
      </c>
      <c r="F20" s="47">
        <f>(PRODUCT($D$4:D19)-PRODUCT($D$4:D20))*E20</f>
        <v>1.7709963526160437E-3</v>
      </c>
      <c r="G20" s="47">
        <f>PRODUCT($D$4:D19)*C20*E20</f>
        <v>1.7709963526160977E-3</v>
      </c>
      <c r="H20" s="25"/>
      <c r="I20" s="25">
        <f>PRODUCT($D$4:D19)*E19</f>
        <v>0.90762946825419899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17">
        <v>2.1915353318650377E-3</v>
      </c>
      <c r="D21" s="34">
        <f t="shared" si="0"/>
        <v>0.997808464668135</v>
      </c>
      <c r="E21" s="34">
        <f t="shared" si="1"/>
        <v>0.91413615988192654</v>
      </c>
      <c r="F21" s="47">
        <f>(PRODUCT($D$4:D20)-PRODUCT($D$4:D21))*E21</f>
        <v>1.96549733010186E-3</v>
      </c>
      <c r="G21" s="47">
        <f>PRODUCT($D$4:D20)*C21*E21</f>
        <v>1.9654973301019237E-3</v>
      </c>
      <c r="H21" s="25"/>
      <c r="I21" s="25">
        <f>PRODUCT($D$4:D20)*E20</f>
        <v>0.90134290240778103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17">
        <v>2.50621450025804E-3</v>
      </c>
      <c r="D22" s="34">
        <f t="shared" si="0"/>
        <v>0.99749378549974199</v>
      </c>
      <c r="E22" s="34">
        <f t="shared" si="1"/>
        <v>0.90958821878798668</v>
      </c>
      <c r="F22" s="47">
        <f>(PRODUCT($D$4:D21)-PRODUCT($D$4:D22))*E22</f>
        <v>2.2316359139828699E-3</v>
      </c>
      <c r="G22" s="47">
        <f>PRODUCT($D$4:D21)*C22*E22</f>
        <v>2.2316359139829059E-3</v>
      </c>
      <c r="H22" s="25"/>
      <c r="I22" s="25">
        <f>PRODUCT($D$4:D21)*E21</f>
        <v>0.89489311203087452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17">
        <v>2.7492339648723255E-3</v>
      </c>
      <c r="D23" s="34">
        <f t="shared" si="0"/>
        <v>0.99725076603512763</v>
      </c>
      <c r="E23" s="34">
        <f t="shared" si="1"/>
        <v>0.90506290426665348</v>
      </c>
      <c r="F23" s="47">
        <f>(PRODUCT($D$4:D22)-PRODUCT($D$4:D23))*E23</f>
        <v>2.4297463655131545E-3</v>
      </c>
      <c r="G23" s="47">
        <f>PRODUCT($D$4:D22)*C23*E23</f>
        <v>2.4297463655130968E-3</v>
      </c>
      <c r="H23" s="25"/>
      <c r="I23" s="25">
        <f>PRODUCT($D$4:D22)*E22</f>
        <v>0.88820927157942475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17">
        <v>2.9586052969170283E-3</v>
      </c>
      <c r="D24" s="34">
        <f t="shared" si="0"/>
        <v>0.99704139470308295</v>
      </c>
      <c r="E24" s="34">
        <f t="shared" si="1"/>
        <v>0.90056010374791418</v>
      </c>
      <c r="F24" s="47">
        <f>(PRODUCT($D$4:D23)-PRODUCT($D$4:D24))*E24</f>
        <v>2.5946249369037367E-3</v>
      </c>
      <c r="G24" s="47">
        <f>PRODUCT($D$4:D23)*C24*E24</f>
        <v>2.5946249369037345E-3</v>
      </c>
      <c r="H24" s="25"/>
      <c r="I24" s="25">
        <f>PRODUCT($D$4:D23)*E23</f>
        <v>0.88136057361401399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17">
        <v>3.3615550953189706E-3</v>
      </c>
      <c r="D25" s="34">
        <f t="shared" si="0"/>
        <v>0.99663844490468101</v>
      </c>
      <c r="E25" s="34">
        <f t="shared" si="1"/>
        <v>0.89607970522180524</v>
      </c>
      <c r="F25" s="47">
        <f>(PRODUCT($D$4:D24)-PRODUCT($D$4:D25))*E25</f>
        <v>2.9246568574985278E-3</v>
      </c>
      <c r="G25" s="47">
        <f>PRODUCT($D$4:D24)*C25*E25</f>
        <v>2.9246568574985421E-3</v>
      </c>
      <c r="H25" s="25"/>
      <c r="I25" s="25">
        <f>PRODUCT($D$4:D24)*E24</f>
        <v>0.87438107020141886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17">
        <v>3.8236631832787478E-3</v>
      </c>
      <c r="D26" s="34">
        <f t="shared" si="0"/>
        <v>0.99617633681672124</v>
      </c>
      <c r="E26" s="34">
        <f t="shared" si="1"/>
        <v>0.89162159723562728</v>
      </c>
      <c r="F26" s="47">
        <f>(PRODUCT($D$4:D25)-PRODUCT($D$4:D26))*E26</f>
        <v>3.2990271419238112E-3</v>
      </c>
      <c r="G26" s="47">
        <f>PRODUCT($D$4:D25)*C26*E26</f>
        <v>3.2990271419237613E-3</v>
      </c>
      <c r="H26" s="25"/>
      <c r="I26" s="25">
        <f>PRODUCT($D$4:D25)*E25</f>
        <v>0.86710625876580394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17">
        <v>4.3508081972202517E-3</v>
      </c>
      <c r="D27" s="34">
        <f t="shared" si="0"/>
        <v>0.99564919180277978</v>
      </c>
      <c r="E27" s="34">
        <f t="shared" si="1"/>
        <v>0.88718566889117134</v>
      </c>
      <c r="F27" s="47">
        <f>(PRODUCT($D$4:D26)-PRODUCT($D$4:D27))*E27</f>
        <v>3.7208859354923339E-3</v>
      </c>
      <c r="G27" s="47">
        <f>PRODUCT($D$4:D26)*C27*E27</f>
        <v>3.72088593549234E-3</v>
      </c>
      <c r="H27" s="25"/>
      <c r="I27" s="25">
        <f>PRODUCT($D$4:D26)*E26</f>
        <v>0.85949327013748322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17">
        <v>4.7802607156820949E-3</v>
      </c>
      <c r="D28" s="34">
        <f t="shared" si="0"/>
        <v>0.99521973928431795</v>
      </c>
      <c r="E28" s="34">
        <f t="shared" si="1"/>
        <v>0.8827718098419618</v>
      </c>
      <c r="F28" s="47">
        <f>(PRODUCT($D$4:D27)-PRODUCT($D$4:D28))*E28</f>
        <v>4.0501236857919754E-3</v>
      </c>
      <c r="G28" s="47">
        <f>PRODUCT($D$4:D27)*C28*E28</f>
        <v>4.0501236857919927E-3</v>
      </c>
      <c r="H28" s="25"/>
      <c r="I28" s="25">
        <f>PRODUCT($D$4:D27)*E27</f>
        <v>0.85149629828090889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17">
        <v>5.3683226934888488E-3</v>
      </c>
      <c r="D29" s="34">
        <f t="shared" si="0"/>
        <v>0.99463167730651114</v>
      </c>
      <c r="E29" s="34">
        <f t="shared" si="1"/>
        <v>0.87837991029050932</v>
      </c>
      <c r="F29" s="47">
        <f>(PRODUCT($D$4:D28)-PRODUCT($D$4:D29))*E29</f>
        <v>4.5041021942376237E-3</v>
      </c>
      <c r="G29" s="47">
        <f>PRODUCT($D$4:D28)*C29*E29</f>
        <v>4.5041021942375794E-3</v>
      </c>
      <c r="H29" s="25"/>
      <c r="I29" s="25">
        <f>PRODUCT($D$4:D28)*E28</f>
        <v>0.84320987460366981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17">
        <v>5.8385840569370583E-3</v>
      </c>
      <c r="D30" s="34">
        <f t="shared" si="0"/>
        <v>0.99416141594306295</v>
      </c>
      <c r="E30" s="34">
        <f t="shared" si="1"/>
        <v>0.87400986098558153</v>
      </c>
      <c r="F30" s="47">
        <f>(PRODUCT($D$4:D29)-PRODUCT($D$4:D30))*E30</f>
        <v>4.848120257770319E-3</v>
      </c>
      <c r="G30" s="47">
        <f>PRODUCT($D$4:D29)*C30*E30</f>
        <v>4.8481202577703346E-3</v>
      </c>
      <c r="H30" s="25"/>
      <c r="I30" s="25">
        <f>PRODUCT($D$4:D29)*E29</f>
        <v>0.83451069840642889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17">
        <v>6.3944107580785536E-3</v>
      </c>
      <c r="D31" s="34">
        <f t="shared" si="0"/>
        <v>0.99360558924192144</v>
      </c>
      <c r="E31" s="34">
        <f t="shared" si="1"/>
        <v>0.86966155321948435</v>
      </c>
      <c r="F31" s="47">
        <f>(PRODUCT($D$4:D30)-PRODUCT($D$4:D31))*E31</f>
        <v>5.2523930703965533E-3</v>
      </c>
      <c r="G31" s="47">
        <f>PRODUCT($D$4:D30)*C31*E31</f>
        <v>5.2523930703965837E-3</v>
      </c>
      <c r="H31" s="25"/>
      <c r="I31" s="25">
        <f>PRODUCT($D$4:D30)*E30</f>
        <v>0.8255107836292237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17">
        <v>6.9856464825959509E-3</v>
      </c>
      <c r="D32" s="34">
        <f t="shared" si="0"/>
        <v>0.99301435351740408</v>
      </c>
      <c r="E32" s="34">
        <f t="shared" si="1"/>
        <v>0.86533487882535765</v>
      </c>
      <c r="F32" s="47">
        <f>(PRODUCT($D$4:D31)-PRODUCT($D$4:D32))*E32</f>
        <v>5.6729800589304198E-3</v>
      </c>
      <c r="G32" s="47">
        <f>PRODUCT($D$4:D31)*C32*E32</f>
        <v>5.6729800589304241E-3</v>
      </c>
      <c r="H32" s="25"/>
      <c r="I32" s="25">
        <f>PRODUCT($D$4:D31)*E31</f>
        <v>0.81615137173480146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17">
        <v>7.9751758402779125E-3</v>
      </c>
      <c r="D33" s="34">
        <f t="shared" si="0"/>
        <v>0.99202482415972204</v>
      </c>
      <c r="E33" s="34">
        <f t="shared" si="1"/>
        <v>0.86102973017448536</v>
      </c>
      <c r="F33" s="47">
        <f>(PRODUCT($D$4:D32)-PRODUCT($D$4:D33))*E33</f>
        <v>6.3993282080079478E-3</v>
      </c>
      <c r="G33" s="47">
        <f>PRODUCT($D$4:D32)*C33*E33</f>
        <v>6.3993282080078862E-3</v>
      </c>
      <c r="H33" s="25"/>
      <c r="I33" s="25">
        <f>PRODUCT($D$4:D32)*E32</f>
        <v>0.80641793709012577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17">
        <v>8.9823729596385515E-3</v>
      </c>
      <c r="D34" s="34">
        <f t="shared" si="0"/>
        <v>0.99101762704036145</v>
      </c>
      <c r="E34" s="34">
        <f t="shared" si="1"/>
        <v>0.85674600017361746</v>
      </c>
      <c r="F34" s="47">
        <f>(PRODUCT($D$4:D33)-PRODUCT($D$4:D34))*E34</f>
        <v>7.114455695519553E-3</v>
      </c>
      <c r="G34" s="47">
        <f>PRODUCT($D$4:D33)*C34*E34</f>
        <v>7.1144556955195278E-3</v>
      </c>
      <c r="H34" s="25"/>
      <c r="I34" s="25">
        <f>PRODUCT($D$4:D33)*E33</f>
        <v>0.79600657934435615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17">
        <v>9.8472600277920534E-3</v>
      </c>
      <c r="D35" s="25">
        <f t="shared" si="0"/>
        <v>0.99015273997220798</v>
      </c>
      <c r="E35" s="25">
        <f t="shared" si="1"/>
        <v>0.85248358226230603</v>
      </c>
      <c r="F35" s="47">
        <f>(PRODUCT($D$4:D34)-PRODUCT($D$4:D35))*E35</f>
        <v>7.69097357587307E-3</v>
      </c>
      <c r="G35" s="47">
        <f>PRODUCT($D$4:D34)*C35*E35</f>
        <v>7.6909735758730995E-3</v>
      </c>
      <c r="H35" s="25"/>
      <c r="I35" s="25">
        <f>PRODUCT($D$4:D34)*E34</f>
        <v>0.78493189191080515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17">
        <v>1.062509620253387E-2</v>
      </c>
      <c r="D36" s="25">
        <f t="shared" si="0"/>
        <v>0.98937490379746618</v>
      </c>
      <c r="E36" s="25">
        <f t="shared" si="1"/>
        <v>0.84824237041025496</v>
      </c>
      <c r="F36" s="47">
        <f>(PRODUCT($D$4:D35)-PRODUCT($D$4:D36))*E36</f>
        <v>8.1758876692990361E-3</v>
      </c>
      <c r="G36" s="47">
        <f>PRODUCT($D$4:D35)*C36*E36</f>
        <v>8.1758876692990309E-3</v>
      </c>
      <c r="H36" s="25"/>
      <c r="I36" s="25">
        <f>PRODUCT($D$4:D35)*E35</f>
        <v>0.77333578454433116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17">
        <v>1.1532022872793221E-2</v>
      </c>
      <c r="D37" s="25">
        <f t="shared" si="0"/>
        <v>0.9884679771272068</v>
      </c>
      <c r="E37" s="25">
        <f t="shared" si="1"/>
        <v>0.84402225911468165</v>
      </c>
      <c r="F37" s="47">
        <f>(PRODUCT($D$4:D36)-PRODUCT($D$4:D37))*E37</f>
        <v>8.7357936778682775E-3</v>
      </c>
      <c r="G37" s="47">
        <f>PRODUCT($D$4:D36)*C37*E37</f>
        <v>8.735793677868307E-3</v>
      </c>
      <c r="H37" s="25"/>
      <c r="I37" s="25">
        <f>PRODUCT($D$4:D36)*E36</f>
        <v>0.76131245516088142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17">
        <v>1.282132401342323E-2</v>
      </c>
      <c r="D38" s="25">
        <f>1-C38</f>
        <v>0.98717867598657683</v>
      </c>
      <c r="E38" s="25">
        <f t="shared" si="1"/>
        <v>0.83982314339769315</v>
      </c>
      <c r="F38" s="47">
        <f>(PRODUCT($D$4:D37)-PRODUCT($D$4:D38))*E38</f>
        <v>9.5527033485386086E-3</v>
      </c>
      <c r="G38" s="47">
        <f>PRODUCT($D$4:D37)*C38*E38</f>
        <v>9.5527033485386503E-3</v>
      </c>
      <c r="H38" s="25"/>
      <c r="I38" s="25">
        <f>PRODUCT($D$4:D37)*E37</f>
        <v>0.74878903732798396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17">
        <v>1.3993820694014239E-2</v>
      </c>
      <c r="D39" s="25">
        <f t="shared" si="0"/>
        <v>0.98600617930598577</v>
      </c>
      <c r="E39" s="25">
        <f t="shared" si="1"/>
        <v>0.83564491880367509</v>
      </c>
      <c r="F39" s="47">
        <f>(PRODUCT($D$4:D38)-PRODUCT($D$4:D39))*E39</f>
        <v>1.0241402256498408E-2</v>
      </c>
      <c r="G39" s="47">
        <f>PRODUCT($D$4:D38)*C39*E39</f>
        <v>1.0241402256498378E-2</v>
      </c>
      <c r="H39" s="25"/>
      <c r="I39" s="25">
        <f>PRODUCT($D$4:D38)*E38</f>
        <v>0.73551101538577379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17">
        <v>1.5789362132141549E-2</v>
      </c>
      <c r="D40" s="25">
        <f>1-C40</f>
        <v>0.98421063786785845</v>
      </c>
      <c r="E40" s="25">
        <f>1/(1+$E$2/100)^B40</f>
        <v>0.83148748139669182</v>
      </c>
      <c r="F40" s="47">
        <f>(PRODUCT($D$4:D39)-PRODUCT($D$4:D40))*E40</f>
        <v>1.1337081794105586E-2</v>
      </c>
      <c r="G40" s="47">
        <f>PRODUCT($D$4:D39)*C40*E40</f>
        <v>1.1337081794105586E-2</v>
      </c>
      <c r="H40" s="25"/>
      <c r="I40" s="25">
        <f>PRODUCT($D$4:D39)*E39</f>
        <v>0.72161035434626186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17">
        <v>1.7491725665991654E-2</v>
      </c>
      <c r="D41" s="25">
        <f t="shared" si="0"/>
        <v>0.98250827433400834</v>
      </c>
      <c r="E41" s="25">
        <f t="shared" si="1"/>
        <v>0.8273507277579023</v>
      </c>
      <c r="F41" s="47">
        <f>(PRODUCT($D$4:D40)-PRODUCT($D$4:D41))*E41</f>
        <v>1.2299610114349125E-2</v>
      </c>
      <c r="G41" s="47">
        <f>PRODUCT($D$4:D40)*C41*E41</f>
        <v>1.2299610114349113E-2</v>
      </c>
      <c r="H41" s="25"/>
      <c r="I41" s="25">
        <f>PRODUCT($D$4:D40)*E40</f>
        <v>0.70668317128675218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17">
        <v>1.921968630142732E-2</v>
      </c>
      <c r="D42" s="25">
        <f t="shared" si="0"/>
        <v>0.98078031369857266</v>
      </c>
      <c r="E42" s="25">
        <f t="shared" si="1"/>
        <v>0.82323455498298748</v>
      </c>
      <c r="F42" s="47">
        <f>(PRODUCT($D$4:D41)-PRODUCT($D$4:D42))*E42</f>
        <v>1.321219994095333E-2</v>
      </c>
      <c r="G42" s="47">
        <f>PRODUCT($D$4:D41)*C42*E42</f>
        <v>1.3212199940953361E-2</v>
      </c>
      <c r="H42" s="25"/>
      <c r="I42" s="25">
        <f>PRODUCT($D$4:D41)*E41</f>
        <v>0.69086772449933453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69</v>
      </c>
      <c r="B43" s="1">
        <v>40</v>
      </c>
      <c r="C43" s="17">
        <v>2.0487828410334794E-2</v>
      </c>
      <c r="D43" s="25">
        <f t="shared" si="0"/>
        <v>0.97951217158966519</v>
      </c>
      <c r="E43" s="48">
        <f>1/(1+$E$2/100)^B43</f>
        <v>0.81913886067958963</v>
      </c>
      <c r="F43" s="47">
        <f>(PRODUCT($D$4:D42)-PRODUCT($D$4:D43))*E43</f>
        <v>1.3744547572625406E-2</v>
      </c>
      <c r="G43" s="47">
        <f>PRODUCT($D$4:D42)*C43*E43</f>
        <v>1.37445475726254E-2</v>
      </c>
      <c r="H43" s="25"/>
      <c r="I43" s="25">
        <f>PRODUCT($D$4:D42)*E42</f>
        <v>0.67421837170017573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/>
      <c r="B44" s="1"/>
      <c r="C44" s="2"/>
      <c r="D44" s="22"/>
      <c r="E44" s="22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/>
      <c r="B45" s="21"/>
      <c r="C45" s="20"/>
      <c r="D45" s="22"/>
      <c r="E45" s="2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</row>
    <row r="73" spans="1:18" x14ac:dyDescent="0.25">
      <c r="A73" s="21"/>
      <c r="B73" s="21"/>
      <c r="C73" s="20"/>
      <c r="D73" s="22"/>
      <c r="E73" s="22"/>
    </row>
    <row r="74" spans="1:18" x14ac:dyDescent="0.25">
      <c r="A74" s="21"/>
      <c r="B74" s="21"/>
      <c r="C74" s="20"/>
      <c r="D74" s="22"/>
      <c r="E74" s="22"/>
    </row>
    <row r="75" spans="1:18" x14ac:dyDescent="0.25">
      <c r="A75" s="21"/>
      <c r="B75" s="21"/>
      <c r="C75" s="20"/>
      <c r="D75" s="22"/>
      <c r="E75" s="22"/>
    </row>
    <row r="76" spans="1:18" x14ac:dyDescent="0.25">
      <c r="A76" s="21"/>
      <c r="B76" s="21"/>
      <c r="C76" s="20"/>
      <c r="D76" s="22"/>
      <c r="E76" s="22"/>
    </row>
    <row r="77" spans="1:18" x14ac:dyDescent="0.25">
      <c r="A77" s="21"/>
      <c r="B77" s="21"/>
      <c r="C77" s="20"/>
      <c r="D77" s="22"/>
      <c r="E77" s="22"/>
    </row>
    <row r="78" spans="1:18" x14ac:dyDescent="0.25">
      <c r="A78" s="21"/>
      <c r="B78" s="21"/>
      <c r="C78" s="20"/>
      <c r="D78" s="22"/>
      <c r="E78" s="22"/>
    </row>
    <row r="79" spans="1:18" x14ac:dyDescent="0.25">
      <c r="A79" s="21"/>
      <c r="B79" s="21"/>
      <c r="C79" s="20"/>
      <c r="D79" s="22"/>
      <c r="E79" s="22"/>
    </row>
    <row r="80" spans="1:18" x14ac:dyDescent="0.25">
      <c r="A80" s="21"/>
      <c r="B80" s="21"/>
      <c r="C80" s="20"/>
      <c r="D80" s="22"/>
      <c r="E80" s="22"/>
    </row>
    <row r="81" spans="1:5" x14ac:dyDescent="0.25">
      <c r="A81" s="21"/>
      <c r="B81" s="21"/>
      <c r="C81" s="20"/>
      <c r="D81" s="22"/>
      <c r="E81" s="22"/>
    </row>
    <row r="82" spans="1:5" x14ac:dyDescent="0.25">
      <c r="A82" s="1"/>
      <c r="B82" s="1"/>
      <c r="C82" s="2"/>
      <c r="D82" s="3"/>
      <c r="E82" s="3"/>
    </row>
    <row r="83" spans="1:5" x14ac:dyDescent="0.25">
      <c r="A83" s="1"/>
      <c r="B83" s="1"/>
      <c r="C83" s="2"/>
      <c r="D83" s="3"/>
      <c r="E83" s="3"/>
    </row>
    <row r="84" spans="1:5" x14ac:dyDescent="0.25">
      <c r="A84" s="1"/>
      <c r="B84" s="1"/>
      <c r="C84" s="2"/>
      <c r="D84" s="3"/>
      <c r="E84" s="3"/>
    </row>
    <row r="85" spans="1:5" x14ac:dyDescent="0.25">
      <c r="A85" s="1"/>
      <c r="B85" s="1"/>
      <c r="C85" s="2"/>
      <c r="D85" s="3"/>
      <c r="E85" s="3"/>
    </row>
    <row r="86" spans="1:5" x14ac:dyDescent="0.25">
      <c r="A86" s="1"/>
      <c r="B86" s="1"/>
      <c r="C86" s="2"/>
      <c r="D86" s="3"/>
      <c r="E86" s="3"/>
    </row>
    <row r="87" spans="1:5" x14ac:dyDescent="0.25">
      <c r="A87" s="1"/>
      <c r="B87" s="1"/>
      <c r="C87" s="2"/>
      <c r="D87" s="3"/>
      <c r="E87" s="3"/>
    </row>
    <row r="88" spans="1:5" x14ac:dyDescent="0.25">
      <c r="A88" s="1"/>
      <c r="B88" s="1"/>
      <c r="C88" s="2"/>
      <c r="D88" s="3"/>
      <c r="E88" s="3"/>
    </row>
    <row r="89" spans="1:5" x14ac:dyDescent="0.25">
      <c r="A89" s="1"/>
      <c r="B89" s="1"/>
      <c r="C89" s="2"/>
      <c r="D89" s="3"/>
      <c r="E89" s="3"/>
    </row>
    <row r="90" spans="1:5" x14ac:dyDescent="0.25">
      <c r="A90" s="1"/>
      <c r="B90" s="1"/>
      <c r="C90" s="2"/>
      <c r="D90" s="3"/>
      <c r="E90" s="3"/>
    </row>
    <row r="91" spans="1:5" x14ac:dyDescent="0.25">
      <c r="A91" s="1"/>
      <c r="B91" s="1"/>
      <c r="C91" s="2"/>
      <c r="D91" s="3"/>
      <c r="E91" s="3"/>
    </row>
    <row r="92" spans="1:5" x14ac:dyDescent="0.25">
      <c r="A92" s="1"/>
      <c r="B92" s="1"/>
      <c r="C92" s="2"/>
      <c r="D92" s="3"/>
      <c r="E92" s="3"/>
    </row>
    <row r="93" spans="1:5" x14ac:dyDescent="0.25">
      <c r="A93" s="1"/>
      <c r="B93" s="1"/>
      <c r="C93" s="2"/>
      <c r="D93" s="3"/>
      <c r="E93" s="3"/>
    </row>
    <row r="94" spans="1:5" x14ac:dyDescent="0.25">
      <c r="A94" s="1"/>
      <c r="B94" s="1"/>
      <c r="C94" s="2"/>
      <c r="D94" s="3"/>
      <c r="E94" s="3"/>
    </row>
    <row r="95" spans="1:5" x14ac:dyDescent="0.25">
      <c r="A95" s="1"/>
      <c r="B95" s="1"/>
      <c r="C95" s="2"/>
      <c r="D95" s="3"/>
      <c r="E95" s="3"/>
    </row>
    <row r="96" spans="1:5" x14ac:dyDescent="0.25">
      <c r="A96" s="1"/>
      <c r="B96" s="1"/>
      <c r="C96" s="2"/>
      <c r="D96" s="3"/>
      <c r="E96" s="3"/>
    </row>
    <row r="97" spans="1:5" x14ac:dyDescent="0.25">
      <c r="A97" s="1"/>
      <c r="B97" s="1"/>
      <c r="C97" s="2"/>
      <c r="D97" s="3"/>
      <c r="E97" s="3"/>
    </row>
    <row r="98" spans="1:5" x14ac:dyDescent="0.25">
      <c r="A98" s="1"/>
      <c r="B98" s="1"/>
      <c r="C98" s="2"/>
      <c r="D98" s="3"/>
      <c r="E98" s="3"/>
    </row>
    <row r="99" spans="1:5" x14ac:dyDescent="0.25">
      <c r="A99" s="1"/>
      <c r="B99" s="1"/>
      <c r="C99" s="2"/>
      <c r="D99" s="3"/>
      <c r="E99" s="3"/>
    </row>
    <row r="100" spans="1:5" x14ac:dyDescent="0.25">
      <c r="A100" s="1"/>
      <c r="B100" s="1"/>
      <c r="C100" s="2"/>
      <c r="D100" s="3"/>
      <c r="E100" s="3"/>
    </row>
    <row r="101" spans="1:5" x14ac:dyDescent="0.25">
      <c r="A101" s="1"/>
      <c r="B101" s="1"/>
      <c r="C101" s="2"/>
      <c r="D101" s="3"/>
      <c r="E101" s="3"/>
    </row>
    <row r="102" spans="1:5" x14ac:dyDescent="0.25">
      <c r="A102" s="1"/>
      <c r="B102" s="1"/>
      <c r="C102" s="2"/>
      <c r="D102" s="3"/>
      <c r="E102" s="3"/>
    </row>
    <row r="103" spans="1:5" x14ac:dyDescent="0.25">
      <c r="A103" s="1"/>
      <c r="B103" s="1"/>
      <c r="C103" s="2"/>
      <c r="D103" s="3"/>
      <c r="E103" s="3"/>
    </row>
    <row r="104" spans="1:5" x14ac:dyDescent="0.25">
      <c r="A104" s="1"/>
      <c r="B104" s="1"/>
      <c r="C104" s="2"/>
      <c r="D104" s="3"/>
      <c r="E104" s="3"/>
    </row>
    <row r="105" spans="1:5" x14ac:dyDescent="0.25">
      <c r="A105" s="1"/>
      <c r="B105" s="1"/>
      <c r="C105" s="2"/>
      <c r="D105" s="3"/>
      <c r="E105" s="3"/>
    </row>
    <row r="106" spans="1:5" x14ac:dyDescent="0.25">
      <c r="A106" s="1"/>
      <c r="B106" s="1"/>
      <c r="C106" s="2"/>
      <c r="D106" s="3"/>
      <c r="E106" s="3"/>
    </row>
    <row r="107" spans="1:5" x14ac:dyDescent="0.25">
      <c r="A107" s="1"/>
      <c r="B107" s="1"/>
      <c r="C107" s="2"/>
      <c r="D107" s="3"/>
      <c r="E107" s="3"/>
    </row>
    <row r="108" spans="1:5" x14ac:dyDescent="0.25">
      <c r="A108" s="1"/>
      <c r="B108" s="1"/>
      <c r="C108" s="2"/>
      <c r="D108" s="3"/>
      <c r="E108" s="3"/>
    </row>
    <row r="109" spans="1:5" x14ac:dyDescent="0.25">
      <c r="A109" s="1"/>
      <c r="B109" s="1"/>
      <c r="C109" s="2"/>
      <c r="D109" s="3"/>
      <c r="E109" s="3"/>
    </row>
  </sheetData>
  <mergeCells count="1">
    <mergeCell ref="P8:Q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zoomScale="180" zoomScaleNormal="180" workbookViewId="0">
      <selection activeCell="K14" sqref="K14"/>
    </sheetView>
  </sheetViews>
  <sheetFormatPr defaultRowHeight="15" x14ac:dyDescent="0.25"/>
  <cols>
    <col min="1" max="1" width="6.85546875" customWidth="1"/>
    <col min="2" max="2" width="6.5703125" customWidth="1"/>
    <col min="3" max="3" width="10.85546875" bestFit="1" customWidth="1"/>
    <col min="4" max="4" width="11.7109375" customWidth="1"/>
    <col min="5" max="5" width="12.42578125" customWidth="1"/>
    <col min="6" max="7" width="13.28515625" customWidth="1"/>
    <col min="8" max="8" width="14.5703125" customWidth="1"/>
    <col min="9" max="9" width="14" customWidth="1"/>
    <col min="10" max="10" width="12.42578125" customWidth="1"/>
    <col min="11" max="11" width="31.42578125" customWidth="1"/>
    <col min="12" max="12" width="23.140625" customWidth="1"/>
    <col min="13" max="13" width="8" customWidth="1"/>
    <col min="15" max="16" width="13.28515625" customWidth="1"/>
    <col min="18" max="18" width="9.7109375" bestFit="1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14">
        <v>0.5</v>
      </c>
      <c r="F2" s="23"/>
      <c r="G2" s="23"/>
      <c r="H2" s="23"/>
    </row>
    <row r="3" spans="1:20" x14ac:dyDescent="0.25">
      <c r="A3" s="15" t="s">
        <v>0</v>
      </c>
      <c r="B3" s="15" t="s">
        <v>2</v>
      </c>
      <c r="E3" s="10" t="s">
        <v>6</v>
      </c>
      <c r="F3" s="50">
        <f>SUM(F4:F43)</f>
        <v>0.36340566903921018</v>
      </c>
      <c r="G3" s="50"/>
      <c r="H3" s="54"/>
      <c r="I3" s="5">
        <f>SUM(I4:I43)</f>
        <v>32.550643600554672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17">
        <v>1.0709044775518422E-3</v>
      </c>
      <c r="D4" s="34">
        <f>1-C4</f>
        <v>0.99892909552244813</v>
      </c>
      <c r="E4" s="34">
        <f>1/(1+$E$2/100)^B4</f>
        <v>0.99502487562189068</v>
      </c>
      <c r="F4" s="49">
        <f>C4*E4</f>
        <v>1.0655765945789476E-3</v>
      </c>
      <c r="G4" s="49">
        <f>C4*E4</f>
        <v>1.0655765945789476E-3</v>
      </c>
      <c r="H4" s="53">
        <f>B1*F3</f>
        <v>3634.0566903921017</v>
      </c>
      <c r="I4" s="25">
        <f>1</f>
        <v>1</v>
      </c>
      <c r="J4" s="24">
        <f>B1*F3/I3</f>
        <v>111.64315934847373</v>
      </c>
      <c r="K4" s="25">
        <f>PRODUCT(D4:D43)*E43</f>
        <v>0.47465083046052264</v>
      </c>
      <c r="L4" s="25">
        <f>I3-11/24*(1-K4)</f>
        <v>32.309858564515743</v>
      </c>
      <c r="M4" s="8">
        <f>B1*F3/(12*L4)</f>
        <v>9.3729304610843016</v>
      </c>
      <c r="N4" s="5"/>
      <c r="O4" s="49">
        <f>PRODUCT(D4:D43)*E43</f>
        <v>0.47465083046052264</v>
      </c>
      <c r="P4" s="9">
        <f>B1*O4/I3</f>
        <v>145.81918449453778</v>
      </c>
      <c r="Q4" s="5">
        <f>O4/(12*L4)</f>
        <v>1.2242156923320798E-3</v>
      </c>
      <c r="R4" s="8">
        <f>B1*O4</f>
        <v>4746.5083046052268</v>
      </c>
      <c r="S4" s="36">
        <f>R4/(12*L4)</f>
        <v>12.242156923320799</v>
      </c>
      <c r="T4" s="36">
        <f>B1*(O4+K9/100+K10/100*L4)/(12*(1-K11/100)*L4)</f>
        <v>15.351939051730756</v>
      </c>
    </row>
    <row r="5" spans="1:20" x14ac:dyDescent="0.25">
      <c r="A5" s="1">
        <v>31</v>
      </c>
      <c r="B5" s="1">
        <v>2</v>
      </c>
      <c r="C5" s="17">
        <v>1.2274063642613777E-3</v>
      </c>
      <c r="D5" s="34">
        <f t="shared" ref="D5:D43" si="0">1-C5</f>
        <v>0.99877259363573867</v>
      </c>
      <c r="E5" s="34">
        <f>1/(1+$E$2/100)^B5</f>
        <v>0.99007450310635903</v>
      </c>
      <c r="F5" s="46">
        <f>(D4-PRODUCT(D4:D5))*E5</f>
        <v>1.2139223576545322E-3</v>
      </c>
      <c r="G5" s="46">
        <f>D4*C5*E5</f>
        <v>1.2139223576546274E-3</v>
      </c>
      <c r="H5" s="25"/>
      <c r="I5" s="25">
        <f>D4*E4</f>
        <v>0.99395929902731173</v>
      </c>
      <c r="J5" s="5"/>
      <c r="K5" s="5"/>
      <c r="L5" s="5"/>
      <c r="M5" s="5"/>
      <c r="N5" s="5"/>
      <c r="O5" s="5"/>
      <c r="P5" s="5"/>
      <c r="Q5" s="5"/>
      <c r="R5" s="5"/>
    </row>
    <row r="6" spans="1:20" x14ac:dyDescent="0.25">
      <c r="A6" s="1">
        <v>32</v>
      </c>
      <c r="B6" s="1">
        <v>3</v>
      </c>
      <c r="C6" s="17">
        <v>1.4161826546013117E-3</v>
      </c>
      <c r="D6" s="34">
        <f t="shared" si="0"/>
        <v>0.99858381734539869</v>
      </c>
      <c r="E6" s="34">
        <f>1/(1+$E$2/100)^B6</f>
        <v>0.98514875930981005</v>
      </c>
      <c r="F6" s="47">
        <f>(PRODUCT($D$4:D5)-PRODUCT($D$4:D6))*E6</f>
        <v>1.3919459292554583E-3</v>
      </c>
      <c r="G6" s="47">
        <f>PRODUCT($D$4:D5)*C6*E6</f>
        <v>1.3919459292554934E-3</v>
      </c>
      <c r="H6" s="25"/>
      <c r="I6" s="25">
        <f>PRODUCT($D$4:D5)*E5</f>
        <v>0.98780030553021791</v>
      </c>
      <c r="J6" s="24"/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17">
        <v>1.5622393001174472E-3</v>
      </c>
      <c r="D7" s="34">
        <f t="shared" si="0"/>
        <v>0.99843776069988255</v>
      </c>
      <c r="E7" s="34">
        <f t="shared" ref="E7:E42" si="1">1/(1+$E$2/100)^B7</f>
        <v>0.9802475217013038</v>
      </c>
      <c r="F7" s="47">
        <f>(PRODUCT($D$4:D6)-PRODUCT($D$4:D7))*E7</f>
        <v>1.5256998911609978E-3</v>
      </c>
      <c r="G7" s="47">
        <f>PRODUCT($D$4:D6)*C7*E7</f>
        <v>1.5256998911609473E-3</v>
      </c>
      <c r="H7" s="25"/>
      <c r="I7" s="25">
        <f>PRODUCT($D$4:D6)*E6</f>
        <v>0.98149393022021525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17">
        <v>1.7069170953454866E-3</v>
      </c>
      <c r="D8" s="34">
        <f t="shared" si="0"/>
        <v>0.99829308290465446</v>
      </c>
      <c r="E8" s="34">
        <f>1/(1+$E$2/100)^B8</f>
        <v>0.97537066835950648</v>
      </c>
      <c r="F8" s="47">
        <f>(PRODUCT($D$4:D7)-PRODUCT($D$4:D8))*E8</f>
        <v>1.6561090111908662E-3</v>
      </c>
      <c r="G8" s="47">
        <f>PRODUCT($D$4:D7)*C8*E8</f>
        <v>1.6561090111908059E-3</v>
      </c>
      <c r="H8" s="25"/>
      <c r="I8" s="25">
        <f>PRODUCT($D$4:D7)*E7</f>
        <v>0.97508517594984945</v>
      </c>
      <c r="J8" s="5"/>
      <c r="K8" s="5"/>
      <c r="L8" s="5"/>
      <c r="M8" s="5"/>
      <c r="N8" s="5"/>
      <c r="O8" s="5"/>
      <c r="P8" s="245" t="s">
        <v>15</v>
      </c>
      <c r="Q8" s="245"/>
      <c r="R8" s="5"/>
      <c r="S8" t="s">
        <v>23</v>
      </c>
    </row>
    <row r="9" spans="1:20" x14ac:dyDescent="0.25">
      <c r="A9" s="1">
        <v>35</v>
      </c>
      <c r="B9" s="1">
        <v>6</v>
      </c>
      <c r="C9" s="17">
        <v>1.79244123660696E-3</v>
      </c>
      <c r="D9" s="34">
        <f>1-C9</f>
        <v>0.99820755876339307</v>
      </c>
      <c r="E9" s="34">
        <f t="shared" si="1"/>
        <v>0.97051807796965839</v>
      </c>
      <c r="F9" s="47">
        <f>(PRODUCT($D$4:D8)-PRODUCT($D$4:D9))*E9</f>
        <v>1.7274815555082686E-3</v>
      </c>
      <c r="G9" s="47">
        <f>PRODUCT($D$4:D8)*C9*E9</f>
        <v>1.7274815555082988E-3</v>
      </c>
      <c r="H9" s="25"/>
      <c r="I9" s="25">
        <f>PRODUCT($D$4:D8)*E8</f>
        <v>0.96857789690905749</v>
      </c>
      <c r="J9" s="40" t="s">
        <v>13</v>
      </c>
      <c r="K9" s="27">
        <v>5</v>
      </c>
      <c r="L9" s="5"/>
      <c r="M9" s="5"/>
      <c r="N9" s="5"/>
      <c r="O9" s="5"/>
      <c r="P9" s="8">
        <f>(H4+R4)/I3</f>
        <v>257.46234384301147</v>
      </c>
      <c r="Q9" s="5"/>
      <c r="R9" s="5"/>
      <c r="S9" s="36">
        <f>B1*(O4+F3+K9/100+K10/100*I3)/((1-K11/100)*I3)</f>
        <v>295.78083153961285</v>
      </c>
    </row>
    <row r="10" spans="1:20" x14ac:dyDescent="0.25">
      <c r="A10" s="1">
        <v>36</v>
      </c>
      <c r="B10" s="1">
        <v>7</v>
      </c>
      <c r="C10" s="17">
        <v>1.9609889240404178E-3</v>
      </c>
      <c r="D10" s="34">
        <f t="shared" si="0"/>
        <v>0.9980390110759596</v>
      </c>
      <c r="E10" s="34">
        <f t="shared" si="1"/>
        <v>0.96568962982055562</v>
      </c>
      <c r="F10" s="47">
        <f>(PRODUCT($D$4:D9)-PRODUCT($D$4:D10))*E10</f>
        <v>1.8771476130305588E-3</v>
      </c>
      <c r="G10" s="47">
        <f>PRODUCT($D$4:D9)*C10*E10</f>
        <v>1.8771476130305723E-3</v>
      </c>
      <c r="H10" s="25"/>
      <c r="I10" s="25">
        <f>PRODUCT($D$4:D9)*E9</f>
        <v>0.96203161984653918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17">
        <v>2.1915353318650377E-3</v>
      </c>
      <c r="D11" s="34">
        <f t="shared" si="0"/>
        <v>0.997808464668135</v>
      </c>
      <c r="E11" s="34">
        <f t="shared" si="1"/>
        <v>0.96088520380154796</v>
      </c>
      <c r="F11" s="47">
        <f>(PRODUCT($D$4:D10)-PRODUCT($D$4:D11))*E11</f>
        <v>2.0833067307950712E-3</v>
      </c>
      <c r="G11" s="47">
        <f>PRODUCT($D$4:D10)*C11*E11</f>
        <v>2.0833067307951558E-3</v>
      </c>
      <c r="H11" s="25"/>
      <c r="I11" s="25">
        <f>PRODUCT($D$4:D10)*E10</f>
        <v>0.95536824526909803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17">
        <v>2.50621450025804E-3</v>
      </c>
      <c r="D12" s="34">
        <f t="shared" si="0"/>
        <v>0.99749378549974199</v>
      </c>
      <c r="E12" s="34">
        <f t="shared" si="1"/>
        <v>0.95610468039955032</v>
      </c>
      <c r="F12" s="47">
        <f>(PRODUCT($D$4:D11)-PRODUCT($D$4:D12))*E12</f>
        <v>2.3653973216253179E-3</v>
      </c>
      <c r="G12" s="47">
        <f>PRODUCT($D$4:D11)*C12*E12</f>
        <v>2.3653973216253101E-3</v>
      </c>
      <c r="H12" s="25"/>
      <c r="I12" s="25">
        <f>PRODUCT($D$4:D11)*E11</f>
        <v>0.94853186269119305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17">
        <v>2.7492339648723255E-3</v>
      </c>
      <c r="D13" s="34">
        <f t="shared" si="0"/>
        <v>0.99725076603512763</v>
      </c>
      <c r="E13" s="34">
        <f t="shared" si="1"/>
        <v>0.95134794069607009</v>
      </c>
      <c r="F13" s="47">
        <f>(PRODUCT($D$4:D12)-PRODUCT($D$4:D13))*E13</f>
        <v>2.5753822607004471E-3</v>
      </c>
      <c r="G13" s="47">
        <f>PRODUCT($D$4:D12)*C13*E13</f>
        <v>2.575382260700405E-3</v>
      </c>
      <c r="H13" s="25"/>
      <c r="I13" s="25">
        <f>PRODUCT($D$4:D12)*E12</f>
        <v>0.94144740137607941</v>
      </c>
      <c r="J13" s="5"/>
      <c r="K13" s="29" t="s">
        <v>21</v>
      </c>
      <c r="L13" s="30" t="s">
        <v>8</v>
      </c>
      <c r="M13" s="5"/>
      <c r="N13" s="5"/>
      <c r="O13" s="29" t="s">
        <v>22</v>
      </c>
      <c r="P13" s="5"/>
      <c r="Q13" s="5"/>
      <c r="R13" s="5"/>
    </row>
    <row r="14" spans="1:20" x14ac:dyDescent="0.25">
      <c r="A14" s="1">
        <v>40</v>
      </c>
      <c r="B14" s="1">
        <v>11</v>
      </c>
      <c r="C14" s="17">
        <v>2.9586052969170283E-3</v>
      </c>
      <c r="D14" s="34">
        <f t="shared" si="0"/>
        <v>0.99704139470308295</v>
      </c>
      <c r="E14" s="34">
        <f t="shared" si="1"/>
        <v>0.94661486636424896</v>
      </c>
      <c r="F14" s="47">
        <f>(PRODUCT($D$4:D13)-PRODUCT($D$4:D14))*E14</f>
        <v>2.7501434431662372E-3</v>
      </c>
      <c r="G14" s="47">
        <f>PRODUCT($D$4:D13)*C14*E14</f>
        <v>2.7501434431662143E-3</v>
      </c>
      <c r="H14" s="25"/>
      <c r="I14" s="25">
        <f>PRODUCT($D$4:D13)*E13</f>
        <v>0.9341882011980851</v>
      </c>
      <c r="J14" s="5"/>
      <c r="K14" s="8">
        <f>B1*(F3+K9/100+K10/100*I3)/((1-K11/100)*I3)</f>
        <v>148.4887259895747</v>
      </c>
      <c r="L14" s="8">
        <f>B1*(F3+K9/100+K10/100*L4)/(12*(1-K11/100)*L4)</f>
        <v>12.453730504017125</v>
      </c>
      <c r="M14" s="5"/>
      <c r="N14" s="5"/>
      <c r="O14" s="8">
        <f>B1*(O4+K9/100+K10/100*I3)/((1-K11/100)*I3)</f>
        <v>183.00996351085149</v>
      </c>
      <c r="P14" s="5"/>
      <c r="Q14" s="5"/>
      <c r="R14" s="5"/>
    </row>
    <row r="15" spans="1:20" x14ac:dyDescent="0.25">
      <c r="A15" s="1">
        <v>41</v>
      </c>
      <c r="B15" s="1">
        <v>12</v>
      </c>
      <c r="C15" s="17">
        <v>3.3615550953189706E-3</v>
      </c>
      <c r="D15" s="34">
        <f t="shared" si="0"/>
        <v>0.99663844490468101</v>
      </c>
      <c r="E15" s="34">
        <f t="shared" si="1"/>
        <v>0.94190533966591972</v>
      </c>
      <c r="F15" s="47">
        <f>(PRODUCT($D$4:D14)-PRODUCT($D$4:D15))*E15</f>
        <v>3.099957055742755E-3</v>
      </c>
      <c r="G15" s="47">
        <f>PRODUCT($D$4:D14)*C15*E15</f>
        <v>3.0999570557427129E-3</v>
      </c>
      <c r="H15" s="25"/>
      <c r="I15" s="25">
        <f>PRODUCT($D$4:D14)*E14</f>
        <v>0.92679035526139619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17">
        <v>3.8236631832787478E-3</v>
      </c>
      <c r="D16" s="34">
        <f t="shared" si="0"/>
        <v>0.99617633681672124</v>
      </c>
      <c r="E16" s="34">
        <f t="shared" si="1"/>
        <v>0.93721924344867635</v>
      </c>
      <c r="F16" s="47">
        <f>(PRODUCT($D$4:D15)-PRODUCT($D$4:D16))*E16</f>
        <v>3.4967666170725308E-3</v>
      </c>
      <c r="G16" s="47">
        <f>PRODUCT($D$4:D15)*C16*E16</f>
        <v>3.4967666170725728E-3</v>
      </c>
      <c r="H16" s="25"/>
      <c r="I16" s="25">
        <f>PRODUCT($D$4:D15)*E15</f>
        <v>0.91907950091579604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17">
        <v>4.3508081972202517E-3</v>
      </c>
      <c r="D17" s="34">
        <f t="shared" si="0"/>
        <v>0.99564919180277978</v>
      </c>
      <c r="E17" s="34">
        <f t="shared" si="1"/>
        <v>0.93255646114296176</v>
      </c>
      <c r="F17" s="47">
        <f>(PRODUCT($D$4:D16)-PRODUCT($D$4:D17))*E17</f>
        <v>3.9439110881571001E-3</v>
      </c>
      <c r="G17" s="47">
        <f>PRODUCT($D$4:D16)*C17*E17</f>
        <v>3.9439110881571374E-3</v>
      </c>
      <c r="H17" s="25"/>
      <c r="I17" s="25">
        <f>PRODUCT($D$4:D16)*E16</f>
        <v>0.91101019946829676</v>
      </c>
      <c r="J17" s="5"/>
      <c r="K17" s="5">
        <v>0.25376779119309428</v>
      </c>
      <c r="L17" s="8">
        <f>B1*(K17+K9/100+K10/100*L4)/(12*(1-K11/100)*L4)</f>
        <v>9.5973956246655021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17">
        <v>4.7802607156820949E-3</v>
      </c>
      <c r="D18" s="34">
        <f t="shared" si="0"/>
        <v>0.99521973928431795</v>
      </c>
      <c r="E18" s="34">
        <f t="shared" si="1"/>
        <v>0.92791687675916612</v>
      </c>
      <c r="F18" s="47">
        <f>(PRODUCT($D$4:D17)-PRODUCT($D$4:D18))*E18</f>
        <v>4.2928829288848419E-3</v>
      </c>
      <c r="G18" s="47">
        <f>PRODUCT($D$4:D17)*C18*E18</f>
        <v>4.292882928884874E-3</v>
      </c>
      <c r="H18" s="25"/>
      <c r="I18" s="25">
        <f>PRODUCT($D$4:D17)*E17</f>
        <v>0.90253389932805872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17">
        <v>5.3683226934888488E-3</v>
      </c>
      <c r="D19" s="34">
        <f t="shared" si="0"/>
        <v>0.99463167730651114</v>
      </c>
      <c r="E19" s="34">
        <f t="shared" si="1"/>
        <v>0.92330037488474248</v>
      </c>
      <c r="F19" s="47">
        <f>(PRODUCT($D$4:D18)-PRODUCT($D$4:D19))*E19</f>
        <v>4.7740723295502038E-3</v>
      </c>
      <c r="G19" s="47">
        <f>PRODUCT($D$4:D18)*C19*E19</f>
        <v>4.7740723295501969E-3</v>
      </c>
      <c r="H19" s="25"/>
      <c r="I19" s="25">
        <f>PRODUCT($D$4:D18)*E18</f>
        <v>0.89375079799455692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17">
        <v>5.8385840569370583E-3</v>
      </c>
      <c r="D20" s="34">
        <f t="shared" si="0"/>
        <v>0.99416141594306295</v>
      </c>
      <c r="E20" s="34">
        <f t="shared" si="1"/>
        <v>0.9187068406813359</v>
      </c>
      <c r="F20" s="47">
        <f>(PRODUCT($D$4:D19)-PRODUCT($D$4:D20))*E20</f>
        <v>5.1387103966167901E-3</v>
      </c>
      <c r="G20" s="47">
        <f>PRODUCT($D$4:D19)*C20*E20</f>
        <v>5.1387103966167849E-3</v>
      </c>
      <c r="H20" s="25"/>
      <c r="I20" s="25">
        <f>PRODUCT($D$4:D19)*E19</f>
        <v>0.88453020428194928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17">
        <v>6.3944107580785536E-3</v>
      </c>
      <c r="D21" s="34">
        <f t="shared" si="0"/>
        <v>0.99360558924192144</v>
      </c>
      <c r="E21" s="34">
        <f t="shared" si="1"/>
        <v>0.91413615988192654</v>
      </c>
      <c r="F21" s="47">
        <f>(PRODUCT($D$4:D20)-PRODUCT($D$4:D21))*E21</f>
        <v>5.5672148055127173E-3</v>
      </c>
      <c r="G21" s="47">
        <f>PRODUCT($D$4:D20)*C21*E21</f>
        <v>5.5672148055126644E-3</v>
      </c>
      <c r="H21" s="25"/>
      <c r="I21" s="25">
        <f>PRODUCT($D$4:D20)*E20</f>
        <v>0.87499084610283528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17">
        <v>6.9856464825959509E-3</v>
      </c>
      <c r="D22" s="34">
        <f t="shared" si="0"/>
        <v>0.99301435351740408</v>
      </c>
      <c r="E22" s="34">
        <f t="shared" si="1"/>
        <v>0.90958821878798668</v>
      </c>
      <c r="F22" s="47">
        <f>(PRODUCT($D$4:D21)-PRODUCT($D$4:D22))*E22</f>
        <v>6.0130112411923677E-3</v>
      </c>
      <c r="G22" s="47">
        <f>PRODUCT($D$4:D21)*C22*E22</f>
        <v>6.0130112411923686E-3</v>
      </c>
      <c r="H22" s="25"/>
      <c r="I22" s="25">
        <f>PRODUCT($D$4:D21)*E21</f>
        <v>0.86507044300825398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17">
        <v>7.9751758402779125E-3</v>
      </c>
      <c r="D23" s="34">
        <f t="shared" si="0"/>
        <v>0.99202482415972204</v>
      </c>
      <c r="E23" s="34">
        <f t="shared" si="1"/>
        <v>0.90506290426665348</v>
      </c>
      <c r="F23" s="47">
        <f>(PRODUCT($D$4:D22)-PRODUCT($D$4:D23))*E23</f>
        <v>6.7828957710255053E-3</v>
      </c>
      <c r="G23" s="47">
        <f>PRODUCT($D$4:D22)*C23*E23</f>
        <v>6.782895771025442E-3</v>
      </c>
      <c r="H23" s="25"/>
      <c r="I23" s="25">
        <f>PRODUCT($D$4:D22)*E22</f>
        <v>0.85475359871726941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17">
        <v>8.9823729596385515E-3</v>
      </c>
      <c r="D24" s="34">
        <f t="shared" si="0"/>
        <v>0.99101762704036145</v>
      </c>
      <c r="E24" s="34">
        <f t="shared" si="1"/>
        <v>0.90056010374791418</v>
      </c>
      <c r="F24" s="47">
        <f>(PRODUCT($D$4:D23)-PRODUCT($D$4:D24))*E24</f>
        <v>7.5408870871634653E-3</v>
      </c>
      <c r="G24" s="47">
        <f>PRODUCT($D$4:D23)*C24*E24</f>
        <v>7.5408870871634167E-3</v>
      </c>
      <c r="H24" s="25"/>
      <c r="I24" s="25">
        <f>PRODUCT($D$4:D23)*E23</f>
        <v>0.84371819747998889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17">
        <v>9.8472600277920534E-3</v>
      </c>
      <c r="D25" s="34">
        <f t="shared" si="0"/>
        <v>0.99015273997220798</v>
      </c>
      <c r="E25" s="34">
        <f t="shared" si="1"/>
        <v>0.89607970522180524</v>
      </c>
      <c r="F25" s="47">
        <f>(PRODUCT($D$4:D24)-PRODUCT($D$4:D25))*E25</f>
        <v>8.1519607132476482E-3</v>
      </c>
      <c r="G25" s="47">
        <f>PRODUCT($D$4:D24)*C25*E25</f>
        <v>8.1519607132476968E-3</v>
      </c>
      <c r="H25" s="25"/>
      <c r="I25" s="25">
        <f>PRODUCT($D$4:D24)*E24</f>
        <v>0.83197970742028837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17">
        <v>1.062509620253387E-2</v>
      </c>
      <c r="D26" s="34">
        <f t="shared" si="0"/>
        <v>0.98937490379746618</v>
      </c>
      <c r="E26" s="34">
        <f t="shared" si="1"/>
        <v>0.89162159723562728</v>
      </c>
      <c r="F26" s="47">
        <f>(PRODUCT($D$4:D25)-PRODUCT($D$4:D26))*E26</f>
        <v>8.6659399383628172E-3</v>
      </c>
      <c r="G26" s="47">
        <f>PRODUCT($D$4:D25)*C26*E26</f>
        <v>8.6659399383628415E-3</v>
      </c>
      <c r="H26" s="25"/>
      <c r="I26" s="25">
        <f>PRODUCT($D$4:D25)*E25</f>
        <v>0.81968854418256176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17">
        <v>1.1532022872793221E-2</v>
      </c>
      <c r="D27" s="34">
        <f t="shared" si="0"/>
        <v>0.9884679771272068</v>
      </c>
      <c r="E27" s="34">
        <f t="shared" si="1"/>
        <v>0.88718566889117134</v>
      </c>
      <c r="F27" s="47">
        <f>(PRODUCT($D$4:D26)-PRODUCT($D$4:D27))*E27</f>
        <v>9.2594059982757937E-3</v>
      </c>
      <c r="G27" s="47">
        <f>PRODUCT($D$4:D26)*C27*E27</f>
        <v>9.2594059982757954E-3</v>
      </c>
      <c r="H27" s="25"/>
      <c r="I27" s="25">
        <f>PRODUCT($D$4:D26)*E26</f>
        <v>0.80694455178557944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17">
        <v>1.282132401342323E-2</v>
      </c>
      <c r="D28" s="34">
        <f t="shared" si="0"/>
        <v>0.98717867598657683</v>
      </c>
      <c r="E28" s="34">
        <f t="shared" si="1"/>
        <v>0.8827718098419618</v>
      </c>
      <c r="F28" s="47">
        <f>(PRODUCT($D$4:D27)-PRODUCT($D$4:D28))*E28</f>
        <v>1.0125280191689682E-2</v>
      </c>
      <c r="G28" s="47">
        <f>PRODUCT($D$4:D27)*C28*E28</f>
        <v>1.0125280191689701E-2</v>
      </c>
      <c r="H28" s="25"/>
      <c r="I28" s="25">
        <f>PRODUCT($D$4:D27)*E27</f>
        <v>0.79367049627593256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17">
        <v>1.3993820694014239E-2</v>
      </c>
      <c r="D29" s="34">
        <f t="shared" si="0"/>
        <v>0.98600617930598577</v>
      </c>
      <c r="E29" s="34">
        <f t="shared" si="1"/>
        <v>0.87837991029050932</v>
      </c>
      <c r="F29" s="47">
        <f>(PRODUCT($D$4:D28)-PRODUCT($D$4:D29))*E29</f>
        <v>1.0855258832957751E-2</v>
      </c>
      <c r="G29" s="47">
        <f>PRODUCT($D$4:D28)*C29*E29</f>
        <v>1.0855258832957742E-2</v>
      </c>
      <c r="H29" s="25"/>
      <c r="I29" s="25">
        <f>PRODUCT($D$4:D28)*E28</f>
        <v>0.7795966066500345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17">
        <v>1.5789362132141549E-2</v>
      </c>
      <c r="D30" s="34">
        <f t="shared" si="0"/>
        <v>0.98421063786785845</v>
      </c>
      <c r="E30" s="34">
        <f t="shared" si="1"/>
        <v>0.87400986098558153</v>
      </c>
      <c r="F30" s="47">
        <f>(PRODUCT($D$4:D29)-PRODUCT($D$4:D30))*E30</f>
        <v>1.2016612003238201E-2</v>
      </c>
      <c r="G30" s="47">
        <f>PRODUCT($D$4:D29)*C30*E30</f>
        <v>1.2016612003238189E-2</v>
      </c>
      <c r="H30" s="25"/>
      <c r="I30" s="25">
        <f>PRODUCT($D$4:D29)*E29</f>
        <v>0.76486275773424073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17">
        <v>1.7491725665991654E-2</v>
      </c>
      <c r="D31" s="34">
        <f t="shared" si="0"/>
        <v>0.98250827433400834</v>
      </c>
      <c r="E31" s="34">
        <f t="shared" si="1"/>
        <v>0.86966155321948435</v>
      </c>
      <c r="F31" s="47">
        <f>(PRODUCT($D$4:D30)-PRODUCT($D$4:D31))*E31</f>
        <v>1.3036833042175103E-2</v>
      </c>
      <c r="G31" s="47">
        <f>PRODUCT($D$4:D30)*C31*E31</f>
        <v>1.3036833042175094E-2</v>
      </c>
      <c r="H31" s="25"/>
      <c r="I31" s="25">
        <f>PRODUCT($D$4:D30)*E30</f>
        <v>0.74904085837909107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17">
        <v>1.921968630142732E-2</v>
      </c>
      <c r="D32" s="34">
        <f t="shared" si="0"/>
        <v>0.98078031369857266</v>
      </c>
      <c r="E32" s="34">
        <f t="shared" si="1"/>
        <v>0.86533487882535765</v>
      </c>
      <c r="F32" s="47">
        <f>(PRODUCT($D$4:D31)-PRODUCT($D$4:D32))*E32</f>
        <v>1.4004122337918487E-2</v>
      </c>
      <c r="G32" s="47">
        <f>PRODUCT($D$4:D31)*C32*E32</f>
        <v>1.4004122337918487E-2</v>
      </c>
      <c r="H32" s="25"/>
      <c r="I32" s="25">
        <f>PRODUCT($D$4:D31)*E31</f>
        <v>0.73227745390219423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17">
        <v>2.0487828410334794E-2</v>
      </c>
      <c r="D33" s="34">
        <f t="shared" si="0"/>
        <v>0.97951217158966519</v>
      </c>
      <c r="E33" s="34">
        <f t="shared" si="1"/>
        <v>0.86102973017448536</v>
      </c>
      <c r="F33" s="47">
        <f>(PRODUCT($D$4:D32)-PRODUCT($D$4:D33))*E33</f>
        <v>1.4568378207005734E-2</v>
      </c>
      <c r="G33" s="47">
        <f>PRODUCT($D$4:D32)*C33*E33</f>
        <v>1.4568378207005683E-2</v>
      </c>
      <c r="H33" s="25"/>
      <c r="I33" s="25">
        <f>PRODUCT($D$4:D32)*E32</f>
        <v>0.71463016015182712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17">
        <v>2.1782008215735317E-2</v>
      </c>
      <c r="D34" s="34">
        <f t="shared" si="0"/>
        <v>0.97821799178426472</v>
      </c>
      <c r="E34" s="34">
        <f t="shared" si="1"/>
        <v>0.85674600017361746</v>
      </c>
      <c r="F34" s="47">
        <f>(PRODUCT($D$4:D33)-PRODUCT($D$4:D34))*E34</f>
        <v>1.5095829155887605E-2</v>
      </c>
      <c r="G34" s="47">
        <f>PRODUCT($D$4:D33)*C34*E34</f>
        <v>1.5095829155887664E-2</v>
      </c>
      <c r="H34" s="25"/>
      <c r="I34" s="25">
        <f>PRODUCT($D$4:D33)*E33</f>
        <v>0.69650640801371788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17">
        <v>2.3345392397782359E-2</v>
      </c>
      <c r="D35" s="25">
        <f t="shared" si="0"/>
        <v>0.97665460760221767</v>
      </c>
      <c r="E35" s="25">
        <f t="shared" si="1"/>
        <v>0.85248358226230603</v>
      </c>
      <c r="F35" s="47">
        <f>(PRODUCT($D$4:D34)-PRODUCT($D$4:D35))*E35</f>
        <v>1.5748159953624937E-2</v>
      </c>
      <c r="G35" s="47">
        <f>PRODUCT($D$4:D34)*C35*E35</f>
        <v>1.5748159953624913E-2</v>
      </c>
      <c r="H35" s="25"/>
      <c r="I35" s="25">
        <f>PRODUCT($D$4:D34)*E34</f>
        <v>0.67794537284781198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17">
        <v>2.5277617903692692E-2</v>
      </c>
      <c r="D36" s="25">
        <f t="shared" si="0"/>
        <v>0.97472238209630735</v>
      </c>
      <c r="E36" s="25">
        <f t="shared" si="1"/>
        <v>0.84824237041025496</v>
      </c>
      <c r="F36" s="47">
        <f>(PRODUCT($D$4:D35)-PRODUCT($D$4:D36))*E36</f>
        <v>1.6570656909066121E-2</v>
      </c>
      <c r="G36" s="47">
        <f>PRODUCT($D$4:D35)*C36*E36</f>
        <v>1.6570656909066148E-2</v>
      </c>
      <c r="H36" s="25"/>
      <c r="I36" s="25">
        <f>PRODUCT($D$4:D35)*E35</f>
        <v>0.65882435034270548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17">
        <v>2.8097097063730259E-2</v>
      </c>
      <c r="D37" s="25">
        <f t="shared" si="0"/>
        <v>0.9719029029362698</v>
      </c>
      <c r="E37" s="25">
        <f t="shared" si="1"/>
        <v>0.84402225911468165</v>
      </c>
      <c r="F37" s="47">
        <f>(PRODUCT($D$4:D36)-PRODUCT($D$4:D37))*E37</f>
        <v>1.786404933260689E-2</v>
      </c>
      <c r="G37" s="47">
        <f>PRODUCT($D$4:D36)*C37*E37</f>
        <v>1.7864049332606925E-2</v>
      </c>
      <c r="H37" s="25"/>
      <c r="I37" s="25">
        <f>PRODUCT($D$4:D36)*E36</f>
        <v>0.63897596034735737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17">
        <v>3.1015541214860165E-2</v>
      </c>
      <c r="D38" s="25">
        <f>1-C38</f>
        <v>0.96898445878513983</v>
      </c>
      <c r="E38" s="25">
        <f t="shared" si="1"/>
        <v>0.83982314339769315</v>
      </c>
      <c r="F38" s="47">
        <f>(PRODUCT($D$4:D37)-PRODUCT($D$4:D38))*E38</f>
        <v>1.9070173272272346E-2</v>
      </c>
      <c r="G38" s="47">
        <f>PRODUCT($D$4:D37)*C38*E38</f>
        <v>1.9070173272272326E-2</v>
      </c>
      <c r="H38" s="25"/>
      <c r="I38" s="25">
        <f>PRODUCT($D$4:D37)*E37</f>
        <v>0.61793292613740047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17">
        <v>3.3576208414515571E-2</v>
      </c>
      <c r="D39" s="25">
        <f t="shared" si="0"/>
        <v>0.96642379158548442</v>
      </c>
      <c r="E39" s="25">
        <f t="shared" si="1"/>
        <v>0.83564491880367509</v>
      </c>
      <c r="F39" s="47">
        <f>(PRODUCT($D$4:D38)-PRODUCT($D$4:D39))*E39</f>
        <v>1.9904793526228232E-2</v>
      </c>
      <c r="G39" s="47">
        <f>PRODUCT($D$4:D38)*C39*E39</f>
        <v>1.990479352622819E-2</v>
      </c>
      <c r="H39" s="25"/>
      <c r="I39" s="25">
        <f>PRODUCT($D$4:D38)*E38</f>
        <v>0.5957884597002655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17">
        <v>3.6439182521974742E-2</v>
      </c>
      <c r="D40" s="25">
        <f>1-C40</f>
        <v>0.96356081747802524</v>
      </c>
      <c r="E40" s="25">
        <f>1/(1+$E$2/100)^B40</f>
        <v>0.83148748139669182</v>
      </c>
      <c r="F40" s="47">
        <f>(PRODUCT($D$4:D39)-PRODUCT($D$4:D40))*E40</f>
        <v>2.0772855573988683E-2</v>
      </c>
      <c r="G40" s="47">
        <f>PRODUCT($D$4:D39)*C40*E40</f>
        <v>2.0772855573988665E-2</v>
      </c>
      <c r="H40" s="25"/>
      <c r="I40" s="25">
        <f>PRODUCT($D$4:D39)*E39</f>
        <v>0.57291954448398641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17">
        <v>3.9394860506877766E-2</v>
      </c>
      <c r="D41" s="25">
        <f t="shared" si="0"/>
        <v>0.96060513949312221</v>
      </c>
      <c r="E41" s="25">
        <f t="shared" si="1"/>
        <v>0.8273507277579023</v>
      </c>
      <c r="F41" s="47">
        <f>(PRODUCT($D$4:D40)-PRODUCT($D$4:D41))*E41</f>
        <v>2.1531793836989676E-2</v>
      </c>
      <c r="G41" s="47">
        <f>PRODUCT($D$4:D40)*C41*E41</f>
        <v>2.1531793836989641E-2</v>
      </c>
      <c r="H41" s="25"/>
      <c r="I41" s="25">
        <f>PRODUCT($D$4:D40)*E40</f>
        <v>0.54929634291754015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17">
        <v>4.2877879406435053E-2</v>
      </c>
      <c r="D42" s="25">
        <f t="shared" si="0"/>
        <v>0.95712212059356494</v>
      </c>
      <c r="E42" s="25">
        <f t="shared" si="1"/>
        <v>0.82323455498298748</v>
      </c>
      <c r="F42" s="47">
        <f>(PRODUCT($D$4:D41)-PRODUCT($D$4:D42))*E42</f>
        <v>2.2400246035662208E-2</v>
      </c>
      <c r="G42" s="47">
        <f>PRODUCT($D$4:D41)*C42*E42</f>
        <v>2.2400246035662177E-2</v>
      </c>
      <c r="H42" s="25"/>
      <c r="I42" s="25">
        <f>PRODUCT($D$4:D41)*E41</f>
        <v>0.5250317314540951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69</v>
      </c>
      <c r="B43" s="1">
        <v>40</v>
      </c>
      <c r="C43" s="17">
        <v>4.5988822084573416E-2</v>
      </c>
      <c r="D43" s="25">
        <f t="shared" si="0"/>
        <v>0.95401117791542656</v>
      </c>
      <c r="E43" s="48">
        <f>1/(1+$E$2/100)^B43</f>
        <v>0.81913886067958963</v>
      </c>
      <c r="F43" s="47">
        <f>(PRODUCT($D$4:D42)-PRODUCT($D$4:D43))*E43</f>
        <v>2.2880898148427305E-2</v>
      </c>
      <c r="G43" s="47">
        <f>PRODUCT($D$4:D42)*C43*E43</f>
        <v>2.2880898148427264E-2</v>
      </c>
      <c r="H43" s="25"/>
      <c r="I43" s="25">
        <f>PRODUCT($D$4:D42)*E42</f>
        <v>0.50001938725199468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/>
      <c r="B44" s="1"/>
      <c r="C44" s="17">
        <v>5.0893397860034509E-2</v>
      </c>
      <c r="D44" s="22"/>
      <c r="E44" s="22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/>
      <c r="B45" s="21"/>
      <c r="C45" s="20"/>
      <c r="D45" s="22"/>
      <c r="E45" s="2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</row>
    <row r="73" spans="1:18" x14ac:dyDescent="0.25">
      <c r="A73" s="21"/>
      <c r="B73" s="21"/>
      <c r="C73" s="20"/>
      <c r="D73" s="22"/>
      <c r="E73" s="22"/>
    </row>
    <row r="74" spans="1:18" x14ac:dyDescent="0.25">
      <c r="A74" s="21"/>
      <c r="B74" s="21"/>
      <c r="C74" s="20"/>
      <c r="D74" s="22"/>
      <c r="E74" s="22"/>
    </row>
    <row r="75" spans="1:18" x14ac:dyDescent="0.25">
      <c r="A75" s="21"/>
      <c r="B75" s="21"/>
      <c r="C75" s="20"/>
      <c r="D75" s="22"/>
      <c r="E75" s="22"/>
    </row>
    <row r="76" spans="1:18" x14ac:dyDescent="0.25">
      <c r="A76" s="21"/>
      <c r="B76" s="21"/>
      <c r="C76" s="20"/>
      <c r="D76" s="22"/>
      <c r="E76" s="22"/>
    </row>
    <row r="77" spans="1:18" x14ac:dyDescent="0.25">
      <c r="A77" s="21"/>
      <c r="B77" s="21"/>
      <c r="C77" s="20"/>
      <c r="D77" s="22"/>
      <c r="E77" s="22"/>
    </row>
    <row r="78" spans="1:18" x14ac:dyDescent="0.25">
      <c r="A78" s="21"/>
      <c r="B78" s="21"/>
      <c r="C78" s="20"/>
      <c r="D78" s="22"/>
      <c r="E78" s="22"/>
    </row>
    <row r="79" spans="1:18" x14ac:dyDescent="0.25">
      <c r="A79" s="21"/>
      <c r="B79" s="21"/>
      <c r="C79" s="20"/>
      <c r="D79" s="22"/>
      <c r="E79" s="22"/>
    </row>
    <row r="80" spans="1:18" x14ac:dyDescent="0.25">
      <c r="A80" s="21"/>
      <c r="B80" s="21"/>
      <c r="C80" s="20"/>
      <c r="D80" s="22"/>
      <c r="E80" s="22"/>
    </row>
    <row r="81" spans="1:5" x14ac:dyDescent="0.25">
      <c r="A81" s="21"/>
      <c r="B81" s="21"/>
      <c r="C81" s="20"/>
      <c r="D81" s="22"/>
      <c r="E81" s="22"/>
    </row>
    <row r="82" spans="1:5" x14ac:dyDescent="0.25">
      <c r="A82" s="1"/>
      <c r="B82" s="1"/>
      <c r="C82" s="2"/>
      <c r="D82" s="3"/>
      <c r="E82" s="3"/>
    </row>
    <row r="83" spans="1:5" x14ac:dyDescent="0.25">
      <c r="A83" s="1"/>
      <c r="B83" s="1"/>
      <c r="C83" s="2"/>
      <c r="D83" s="3"/>
      <c r="E83" s="3"/>
    </row>
    <row r="84" spans="1:5" x14ac:dyDescent="0.25">
      <c r="A84" s="1"/>
      <c r="B84" s="1"/>
      <c r="C84" s="2"/>
      <c r="D84" s="3"/>
      <c r="E84" s="3"/>
    </row>
    <row r="85" spans="1:5" x14ac:dyDescent="0.25">
      <c r="A85" s="1"/>
      <c r="B85" s="1"/>
      <c r="C85" s="2"/>
      <c r="D85" s="3"/>
      <c r="E85" s="3"/>
    </row>
    <row r="86" spans="1:5" x14ac:dyDescent="0.25">
      <c r="A86" s="1"/>
      <c r="B86" s="1"/>
      <c r="C86" s="2"/>
      <c r="D86" s="3"/>
      <c r="E86" s="3"/>
    </row>
    <row r="87" spans="1:5" x14ac:dyDescent="0.25">
      <c r="A87" s="1"/>
      <c r="B87" s="1"/>
      <c r="C87" s="2"/>
      <c r="D87" s="3"/>
      <c r="E87" s="3"/>
    </row>
    <row r="88" spans="1:5" x14ac:dyDescent="0.25">
      <c r="A88" s="1"/>
      <c r="B88" s="1"/>
      <c r="C88" s="2"/>
      <c r="D88" s="3"/>
      <c r="E88" s="3"/>
    </row>
    <row r="89" spans="1:5" x14ac:dyDescent="0.25">
      <c r="A89" s="1"/>
      <c r="B89" s="1"/>
      <c r="C89" s="2"/>
      <c r="D89" s="3"/>
      <c r="E89" s="3"/>
    </row>
    <row r="90" spans="1:5" x14ac:dyDescent="0.25">
      <c r="A90" s="1"/>
      <c r="B90" s="1"/>
      <c r="C90" s="2"/>
      <c r="D90" s="3"/>
      <c r="E90" s="3"/>
    </row>
    <row r="91" spans="1:5" x14ac:dyDescent="0.25">
      <c r="A91" s="1"/>
      <c r="B91" s="1"/>
      <c r="C91" s="2"/>
      <c r="D91" s="3"/>
      <c r="E91" s="3"/>
    </row>
    <row r="92" spans="1:5" x14ac:dyDescent="0.25">
      <c r="A92" s="1"/>
      <c r="B92" s="1"/>
      <c r="C92" s="2"/>
      <c r="D92" s="3"/>
      <c r="E92" s="3"/>
    </row>
    <row r="93" spans="1:5" x14ac:dyDescent="0.25">
      <c r="A93" s="1"/>
      <c r="B93" s="1"/>
      <c r="C93" s="2"/>
      <c r="D93" s="3"/>
      <c r="E93" s="3"/>
    </row>
    <row r="94" spans="1:5" x14ac:dyDescent="0.25">
      <c r="A94" s="1"/>
      <c r="B94" s="1"/>
      <c r="C94" s="2"/>
      <c r="D94" s="3"/>
      <c r="E94" s="3"/>
    </row>
    <row r="95" spans="1:5" x14ac:dyDescent="0.25">
      <c r="A95" s="1"/>
      <c r="B95" s="1"/>
      <c r="C95" s="2"/>
      <c r="D95" s="3"/>
      <c r="E95" s="3"/>
    </row>
    <row r="96" spans="1:5" x14ac:dyDescent="0.25">
      <c r="A96" s="1"/>
      <c r="B96" s="1"/>
      <c r="C96" s="2"/>
      <c r="D96" s="3"/>
      <c r="E96" s="3"/>
    </row>
    <row r="97" spans="1:5" x14ac:dyDescent="0.25">
      <c r="A97" s="1"/>
      <c r="B97" s="1"/>
      <c r="C97" s="2"/>
      <c r="D97" s="3"/>
      <c r="E97" s="3"/>
    </row>
    <row r="98" spans="1:5" x14ac:dyDescent="0.25">
      <c r="A98" s="1"/>
      <c r="B98" s="1"/>
      <c r="C98" s="2"/>
      <c r="D98" s="3"/>
      <c r="E98" s="3"/>
    </row>
    <row r="99" spans="1:5" x14ac:dyDescent="0.25">
      <c r="A99" s="1"/>
      <c r="B99" s="1"/>
      <c r="C99" s="2"/>
      <c r="D99" s="3"/>
      <c r="E99" s="3"/>
    </row>
    <row r="100" spans="1:5" x14ac:dyDescent="0.25">
      <c r="A100" s="1"/>
      <c r="B100" s="1"/>
      <c r="C100" s="2"/>
      <c r="D100" s="3"/>
      <c r="E100" s="3"/>
    </row>
    <row r="101" spans="1:5" x14ac:dyDescent="0.25">
      <c r="A101" s="1"/>
      <c r="B101" s="1"/>
      <c r="C101" s="2"/>
      <c r="D101" s="3"/>
      <c r="E101" s="3"/>
    </row>
    <row r="102" spans="1:5" x14ac:dyDescent="0.25">
      <c r="A102" s="1"/>
      <c r="B102" s="1"/>
      <c r="C102" s="2"/>
      <c r="D102" s="3"/>
      <c r="E102" s="3"/>
    </row>
    <row r="103" spans="1:5" x14ac:dyDescent="0.25">
      <c r="A103" s="1"/>
      <c r="B103" s="1"/>
      <c r="C103" s="2"/>
      <c r="D103" s="3"/>
      <c r="E103" s="3"/>
    </row>
    <row r="104" spans="1:5" x14ac:dyDescent="0.25">
      <c r="A104" s="1"/>
      <c r="B104" s="1"/>
      <c r="C104" s="2"/>
      <c r="D104" s="3"/>
      <c r="E104" s="3"/>
    </row>
    <row r="105" spans="1:5" x14ac:dyDescent="0.25">
      <c r="A105" s="1"/>
      <c r="B105" s="1"/>
      <c r="C105" s="2"/>
      <c r="D105" s="3"/>
      <c r="E105" s="3"/>
    </row>
    <row r="106" spans="1:5" x14ac:dyDescent="0.25">
      <c r="A106" s="1"/>
      <c r="B106" s="1"/>
      <c r="C106" s="2"/>
      <c r="D106" s="3"/>
      <c r="E106" s="3"/>
    </row>
    <row r="107" spans="1:5" x14ac:dyDescent="0.25">
      <c r="A107" s="1"/>
      <c r="B107" s="1"/>
      <c r="C107" s="2"/>
      <c r="D107" s="3"/>
      <c r="E107" s="3"/>
    </row>
    <row r="108" spans="1:5" x14ac:dyDescent="0.25">
      <c r="A108" s="1"/>
      <c r="B108" s="1"/>
      <c r="C108" s="2"/>
      <c r="D108" s="3"/>
      <c r="E108" s="3"/>
    </row>
    <row r="109" spans="1:5" x14ac:dyDescent="0.25">
      <c r="A109" s="1"/>
      <c r="B109" s="1"/>
      <c r="C109" s="2"/>
      <c r="D109" s="3"/>
      <c r="E109" s="3"/>
    </row>
  </sheetData>
  <mergeCells count="1">
    <mergeCell ref="P8:Q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zoomScale="180" zoomScaleNormal="180" workbookViewId="0">
      <selection activeCell="E4" sqref="E4"/>
    </sheetView>
  </sheetViews>
  <sheetFormatPr defaultRowHeight="15" x14ac:dyDescent="0.25"/>
  <cols>
    <col min="1" max="1" width="6.85546875" customWidth="1"/>
    <col min="2" max="2" width="6.5703125" customWidth="1"/>
    <col min="4" max="5" width="11.710937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5" max="15" width="13.28515625" customWidth="1"/>
    <col min="16" max="16" width="10.140625" customWidth="1"/>
    <col min="18" max="18" width="9.7109375" bestFit="1" customWidth="1"/>
    <col min="19" max="19" width="11.5703125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44" t="s">
        <v>14</v>
      </c>
      <c r="F2" s="14"/>
      <c r="G2" s="23"/>
      <c r="H2" s="23"/>
    </row>
    <row r="3" spans="1:20" x14ac:dyDescent="0.25">
      <c r="A3" s="15" t="s">
        <v>0</v>
      </c>
      <c r="B3" s="15" t="s">
        <v>2</v>
      </c>
      <c r="F3" s="10" t="s">
        <v>6</v>
      </c>
      <c r="G3" s="52">
        <f>SUM(G4:G43)</f>
        <v>0.1417251339573409</v>
      </c>
      <c r="H3" s="6"/>
      <c r="I3" s="5">
        <f>SUM(I4:I43)</f>
        <v>24.442822297325552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2">
        <f>'základné pravdepodobnosti 2021'!C35</f>
        <v>8.279802028143497E-4</v>
      </c>
      <c r="D4" s="3">
        <f>1-C4</f>
        <v>0.99917201979718562</v>
      </c>
      <c r="E4">
        <v>1.895</v>
      </c>
      <c r="F4" s="3">
        <f>1/(1+E4/100)^B4</f>
        <v>0.98140242406398737</v>
      </c>
      <c r="G4" s="51">
        <f>C4*F4</f>
        <v>8.1258177811899474E-4</v>
      </c>
      <c r="H4" s="11">
        <f>B1*G3</f>
        <v>1417.251339573409</v>
      </c>
      <c r="I4" s="5">
        <f>1</f>
        <v>1</v>
      </c>
      <c r="J4" s="24">
        <f>B1*G3/I3</f>
        <v>57.982311630538661</v>
      </c>
      <c r="K4" s="26">
        <f>PRODUCT(D4:D43)*F43</f>
        <v>0.24663744687568226</v>
      </c>
      <c r="L4" s="25">
        <f>I3-11/24*(1-K4)</f>
        <v>24.097531127143572</v>
      </c>
      <c r="M4" s="8">
        <f>B1*G3/(12*L4)</f>
        <v>4.9010945426168933</v>
      </c>
      <c r="N4" s="5"/>
      <c r="O4" s="41">
        <f>PRODUCT(D4:D43)*F43</f>
        <v>0.24663744687568226</v>
      </c>
      <c r="P4" s="9">
        <f>B1*O4/I3</f>
        <v>100.90383339352285</v>
      </c>
      <c r="Q4" s="5">
        <f>O4/(12*L4)</f>
        <v>8.52913954733827E-4</v>
      </c>
      <c r="R4" s="8">
        <f>B1*O4</f>
        <v>2466.3744687568228</v>
      </c>
      <c r="S4" s="36">
        <f>R4/(12*L4)</f>
        <v>8.5291395473382714</v>
      </c>
      <c r="T4" s="36">
        <f>B1*(O4+K9/100+K10/100*L4)/(12*(1-K11/100)*L4)</f>
        <v>12.04534411810565</v>
      </c>
    </row>
    <row r="5" spans="1:20" x14ac:dyDescent="0.25">
      <c r="A5" s="1">
        <v>31</v>
      </c>
      <c r="B5" s="1">
        <v>2</v>
      </c>
      <c r="C5" s="2">
        <f>'základné pravdepodobnosti 2021'!C36</f>
        <v>9.3958852840120614E-4</v>
      </c>
      <c r="D5" s="3">
        <f t="shared" ref="D5:D43" si="0">1-C5</f>
        <v>0.99906041147159874</v>
      </c>
      <c r="E5">
        <v>2.2349999999999999</v>
      </c>
      <c r="F5" s="3">
        <f t="shared" ref="F5:F43" si="1">1/(1+E5/100)^B5</f>
        <v>0.95675512519189831</v>
      </c>
      <c r="G5" s="12">
        <f>(D4-PRODUCT(D4:D5))*F5</f>
        <v>8.9821182223220333E-4</v>
      </c>
      <c r="H5" s="5"/>
      <c r="I5" s="5">
        <f>D4*F4</f>
        <v>0.98058984228586832</v>
      </c>
      <c r="J5" s="5"/>
      <c r="K5" s="5"/>
      <c r="L5" s="5"/>
      <c r="M5" s="5"/>
      <c r="N5" s="5"/>
      <c r="O5" s="5"/>
      <c r="P5" s="5"/>
      <c r="Q5" s="5"/>
      <c r="R5" s="5"/>
    </row>
    <row r="6" spans="1:20" x14ac:dyDescent="0.25">
      <c r="A6" s="1">
        <v>32</v>
      </c>
      <c r="B6" s="1">
        <v>3</v>
      </c>
      <c r="C6" s="2">
        <f>'základné pravdepodobnosti 2021'!C37</f>
        <v>1.0319366344008537E-3</v>
      </c>
      <c r="D6" s="3">
        <f t="shared" si="0"/>
        <v>0.99896806336559918</v>
      </c>
      <c r="E6">
        <v>2.2650000000000001</v>
      </c>
      <c r="F6" s="3">
        <f t="shared" si="1"/>
        <v>0.93501576177130874</v>
      </c>
      <c r="G6" s="13">
        <f>(PRODUCT($D$4:D5)-PRODUCT($D$4:D6))*F6</f>
        <v>9.6317228250336964E-4</v>
      </c>
      <c r="H6" s="5"/>
      <c r="I6" s="5">
        <f>PRODUCT($D$4:D5)*F5</f>
        <v>0.95506473906706602</v>
      </c>
      <c r="J6" s="207">
        <v>44804</v>
      </c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2">
        <f>'základné pravdepodobnosti 2021'!C38</f>
        <v>1.0464696879975339E-3</v>
      </c>
      <c r="D7" s="3">
        <f t="shared" si="0"/>
        <v>0.99895353031200251</v>
      </c>
      <c r="E7">
        <v>2.2919999999999998</v>
      </c>
      <c r="F7" s="3">
        <f t="shared" si="1"/>
        <v>0.91334177083315038</v>
      </c>
      <c r="G7" s="13">
        <f>(PRODUCT($D$4:D6)-PRODUCT($D$4:D7))*F7</f>
        <v>9.5311124034887598E-4</v>
      </c>
      <c r="H7" s="5"/>
      <c r="I7" s="5">
        <f>PRODUCT($D$4:D6)*F6</f>
        <v>0.93240061227062143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2">
        <f>'základné pravdepodobnosti 2021'!C39</f>
        <v>1.0284638099251429E-3</v>
      </c>
      <c r="D8" s="3">
        <f t="shared" si="0"/>
        <v>0.99897153619007484</v>
      </c>
      <c r="E8">
        <v>2.323</v>
      </c>
      <c r="F8" s="3">
        <f t="shared" si="1"/>
        <v>0.89152530871603453</v>
      </c>
      <c r="G8" s="13">
        <f>(PRODUCT($D$4:D7)-PRODUCT($D$4:D8))*F8</f>
        <v>9.1338020397052546E-4</v>
      </c>
      <c r="H8" s="5"/>
      <c r="I8" s="5">
        <f>PRODUCT($D$4:D7)*F7</f>
        <v>0.90983413016815706</v>
      </c>
      <c r="J8" s="5"/>
      <c r="K8" s="5"/>
      <c r="L8" s="5"/>
      <c r="M8" s="5"/>
      <c r="N8" s="5"/>
      <c r="O8" s="5"/>
      <c r="P8" s="5"/>
      <c r="Q8" s="5"/>
      <c r="R8" s="5"/>
    </row>
    <row r="9" spans="1:20" x14ac:dyDescent="0.25">
      <c r="A9" s="1">
        <v>35</v>
      </c>
      <c r="B9" s="1">
        <v>6</v>
      </c>
      <c r="C9" s="2">
        <f>'základné pravdepodobnosti 2021'!C40</f>
        <v>1.0709044775518422E-3</v>
      </c>
      <c r="D9" s="3">
        <f t="shared" si="0"/>
        <v>0.99892909552244813</v>
      </c>
      <c r="E9">
        <v>2.351</v>
      </c>
      <c r="F9" s="3">
        <f t="shared" si="1"/>
        <v>0.86985619090845567</v>
      </c>
      <c r="G9" s="13">
        <f>(PRODUCT($D$4:D8)-PRODUCT($D$4:D9))*F9</f>
        <v>9.2700101844456087E-4</v>
      </c>
      <c r="H9" s="5"/>
      <c r="I9" s="5">
        <f>PRODUCT($D$4:D8)*F8</f>
        <v>0.88718807281358814</v>
      </c>
      <c r="J9" s="40" t="s">
        <v>13</v>
      </c>
      <c r="K9" s="27">
        <v>5</v>
      </c>
      <c r="L9" s="5"/>
      <c r="M9" s="5"/>
      <c r="N9" s="5"/>
      <c r="O9" s="5"/>
      <c r="P9" s="5"/>
      <c r="Q9" s="5"/>
      <c r="R9" s="5"/>
      <c r="S9" s="36"/>
    </row>
    <row r="10" spans="1:20" x14ac:dyDescent="0.25">
      <c r="A10" s="1">
        <v>36</v>
      </c>
      <c r="B10" s="1">
        <v>7</v>
      </c>
      <c r="C10" s="2">
        <f>'základné pravdepodobnosti 2021'!C41</f>
        <v>1.2274063642613777E-3</v>
      </c>
      <c r="D10" s="3">
        <f t="shared" si="0"/>
        <v>0.99877259363573867</v>
      </c>
      <c r="E10">
        <v>2.3769999999999998</v>
      </c>
      <c r="F10" s="3">
        <f t="shared" si="1"/>
        <v>0.84836590535103229</v>
      </c>
      <c r="G10" s="13">
        <f>(PRODUCT($D$4:D9)-PRODUCT($D$4:D10))*F10</f>
        <v>1.0351141807715006E-3</v>
      </c>
      <c r="H10" s="5"/>
      <c r="I10" s="5">
        <f>PRODUCT($D$4:D9)*F9</f>
        <v>0.8646973734016975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2">
        <f>'základné pravdepodobnosti 2021'!C42</f>
        <v>1.4161826546013117E-3</v>
      </c>
      <c r="D11" s="3">
        <f t="shared" si="0"/>
        <v>0.99858381734539869</v>
      </c>
      <c r="E11">
        <v>2.411</v>
      </c>
      <c r="F11" s="3">
        <f t="shared" si="1"/>
        <v>0.82647009771891766</v>
      </c>
      <c r="G11" s="13">
        <f>(PRODUCT($D$4:D10)-PRODUCT($D$4:D11))*F11</f>
        <v>1.1620631076750814E-3</v>
      </c>
      <c r="H11" s="5"/>
      <c r="I11" s="5">
        <f>PRODUCT($D$4:D10)*F10</f>
        <v>0.84229942514630818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2">
        <f>'základné pravdepodobnosti 2021'!C43</f>
        <v>1.5622393001174472E-3</v>
      </c>
      <c r="D12" s="3">
        <f t="shared" si="0"/>
        <v>0.99843776069988255</v>
      </c>
      <c r="E12">
        <v>2.4449999999999998</v>
      </c>
      <c r="F12" s="3">
        <f t="shared" si="1"/>
        <v>0.8046056889981662</v>
      </c>
      <c r="G12" s="13">
        <f>(PRODUCT($D$4:D11)-PRODUCT($D$4:D12))*F12</f>
        <v>1.2462307968752571E-3</v>
      </c>
      <c r="H12" s="5"/>
      <c r="I12" s="5">
        <f>PRODUCT($D$4:D11)*F11</f>
        <v>0.81939812656804556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2">
        <f>'základné pravdepodobnosti 2021'!C44</f>
        <v>1.7069170953454866E-3</v>
      </c>
      <c r="D13" s="3">
        <f t="shared" si="0"/>
        <v>0.99829308290465446</v>
      </c>
      <c r="E13">
        <v>2.4830000000000001</v>
      </c>
      <c r="F13" s="3">
        <f t="shared" si="1"/>
        <v>0.7824952305219991</v>
      </c>
      <c r="G13" s="13">
        <f>(PRODUCT($D$4:D12)-PRODUCT($D$4:D13))*F13</f>
        <v>1.3221567491482882E-3</v>
      </c>
      <c r="H13" s="5"/>
      <c r="I13" s="5">
        <f>PRODUCT($D$4:D12)*F12</f>
        <v>0.79647457726473003</v>
      </c>
      <c r="J13" s="5"/>
      <c r="K13" s="29" t="s">
        <v>7</v>
      </c>
      <c r="L13" s="30" t="s">
        <v>8</v>
      </c>
      <c r="M13" s="5"/>
      <c r="N13" s="29" t="s">
        <v>22</v>
      </c>
      <c r="O13" s="5"/>
      <c r="P13" s="5"/>
      <c r="Q13" s="5"/>
      <c r="R13" s="5"/>
      <c r="S13" t="s">
        <v>24</v>
      </c>
    </row>
    <row r="14" spans="1:20" x14ac:dyDescent="0.25">
      <c r="A14" s="1">
        <v>40</v>
      </c>
      <c r="B14" s="1">
        <v>11</v>
      </c>
      <c r="C14" s="2">
        <f>'základné pravdepodobnosti 2021'!C45</f>
        <v>1.79244123660696E-3</v>
      </c>
      <c r="D14" s="3">
        <f t="shared" si="0"/>
        <v>0.99820755876339307</v>
      </c>
      <c r="E14">
        <v>2.532</v>
      </c>
      <c r="F14" s="3">
        <f t="shared" si="1"/>
        <v>0.75953236151181847</v>
      </c>
      <c r="G14" s="13">
        <f>(PRODUCT($D$4:D13)-PRODUCT($D$4:D14))*F14</f>
        <v>1.3453586964424049E-3</v>
      </c>
      <c r="H14" s="5"/>
      <c r="I14" s="5">
        <f>PRODUCT($D$4:D13)*F13</f>
        <v>0.77326540392008425</v>
      </c>
      <c r="J14" s="5"/>
      <c r="K14" s="8">
        <f>B1*(G3+K9/100+K10/100*I3)/((1-K11/100)*I3)</f>
        <v>99.432539949836453</v>
      </c>
      <c r="L14" s="8">
        <f>B1*(G3+K9/100+K10/100*L4)/(12*(1-K11/100)*L4)</f>
        <v>8.3806521941446626</v>
      </c>
      <c r="M14" s="5"/>
      <c r="N14" s="5"/>
      <c r="O14" s="8">
        <f>B1*(O4+K9/100+K10/100*I3)/((1-K11/100)*I3)</f>
        <v>142.78761243769924</v>
      </c>
      <c r="P14" s="5"/>
      <c r="Q14" s="5"/>
      <c r="R14" s="5"/>
      <c r="S14" s="36">
        <f>B1*(O4+G3+K9/100+K10/100*I3)/((1-K11/100)*I3)</f>
        <v>201.35560398369788</v>
      </c>
    </row>
    <row r="15" spans="1:20" x14ac:dyDescent="0.25">
      <c r="A15" s="1">
        <v>41</v>
      </c>
      <c r="B15" s="1">
        <v>12</v>
      </c>
      <c r="C15" s="2">
        <f>'základné pravdepodobnosti 2021'!C46</f>
        <v>1.9609889240404178E-3</v>
      </c>
      <c r="D15" s="3">
        <f t="shared" si="0"/>
        <v>0.9980390110759596</v>
      </c>
      <c r="E15" s="43">
        <v>2.54</v>
      </c>
      <c r="F15" s="3">
        <f t="shared" si="1"/>
        <v>0.74008268361599594</v>
      </c>
      <c r="G15" s="13">
        <f>(PRODUCT($D$4:D14)-PRODUCT($D$4:D15))*F15</f>
        <v>1.431604710456608E-3</v>
      </c>
      <c r="H15" s="5"/>
      <c r="I15" s="5">
        <f>PRODUCT($D$4:D14)*F14</f>
        <v>0.74922803192092036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2">
        <f>'základné pravdepodobnosti 2021'!C47</f>
        <v>2.1915353318650377E-3</v>
      </c>
      <c r="D16" s="3">
        <f t="shared" si="0"/>
        <v>0.997808464668135</v>
      </c>
      <c r="E16" s="43">
        <v>2.5499999999999998</v>
      </c>
      <c r="F16" s="3">
        <f t="shared" si="1"/>
        <v>0.72083581873515035</v>
      </c>
      <c r="G16" s="13">
        <f>(PRODUCT($D$4:D15)-PRODUCT($D$4:D16))*F16</f>
        <v>1.5552495630784446E-3</v>
      </c>
      <c r="H16" s="5"/>
      <c r="I16" s="5">
        <f>PRODUCT($D$4:D15)*F15</f>
        <v>0.72861061679630645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2">
        <f>'základné pravdepodobnosti 2021'!C48</f>
        <v>2.50621450025804E-3</v>
      </c>
      <c r="D17" s="3">
        <f t="shared" si="0"/>
        <v>0.99749378549974199</v>
      </c>
      <c r="E17">
        <v>2.5609999999999999</v>
      </c>
      <c r="F17" s="3">
        <f t="shared" si="1"/>
        <v>0.70185685544270882</v>
      </c>
      <c r="G17" s="13">
        <f>(PRODUCT($D$4:D16)-PRODUCT($D$4:D17))*F17</f>
        <v>1.7279422388820625E-3</v>
      </c>
      <c r="H17" s="5"/>
      <c r="I17" s="5">
        <f>PRODUCT($D$4:D16)*F16</f>
        <v>0.70810684917885292</v>
      </c>
      <c r="J17" s="5"/>
      <c r="K17" s="5">
        <v>0.25376779119309428</v>
      </c>
      <c r="L17" s="8">
        <f>B1*(K17+K9/100+K10/100*L4)/(12*(1-K11/100)*L4)</f>
        <v>12.294414170115843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2">
        <f>'základné pravdepodobnosti 2021'!C49</f>
        <v>2.7492339648723255E-3</v>
      </c>
      <c r="D18" s="3">
        <f t="shared" si="0"/>
        <v>0.99725076603512763</v>
      </c>
      <c r="E18">
        <v>2.5579999999999998</v>
      </c>
      <c r="F18" s="3">
        <f t="shared" si="1"/>
        <v>0.68463146471630254</v>
      </c>
      <c r="G18" s="13">
        <f>(PRODUCT($D$4:D17)-PRODUCT($D$4:D18))*F18</f>
        <v>1.8443408711600752E-3</v>
      </c>
      <c r="H18" s="5"/>
      <c r="I18" s="5">
        <f>PRODUCT($D$4:D17)*F17</f>
        <v>0.68773508604706135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2">
        <f>'základné pravdepodobnosti 2021'!C50</f>
        <v>2.9586052969170283E-3</v>
      </c>
      <c r="D19" s="3">
        <f t="shared" si="0"/>
        <v>0.99704139470308295</v>
      </c>
      <c r="E19">
        <v>2.5339999999999998</v>
      </c>
      <c r="F19" s="3">
        <f t="shared" si="1"/>
        <v>0.67005985251452693</v>
      </c>
      <c r="G19" s="13">
        <f>(PRODUCT($D$4:D18)-PRODUCT($D$4:D19))*F19</f>
        <v>1.937214189214917E-3</v>
      </c>
      <c r="H19" s="5"/>
      <c r="I19" s="5">
        <f>PRODUCT($D$4:D18)*F18</f>
        <v>0.66901193936022418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2">
        <f>'základné pravdepodobnosti 2021'!C51</f>
        <v>3.3615550953189706E-3</v>
      </c>
      <c r="D20" s="3">
        <f t="shared" si="0"/>
        <v>0.99663844490468101</v>
      </c>
      <c r="E20">
        <v>2.4969999999999999</v>
      </c>
      <c r="F20" s="3">
        <f t="shared" si="1"/>
        <v>0.65752213783948488</v>
      </c>
      <c r="G20" s="13">
        <f>(PRODUCT($D$4:D19)-PRODUCT($D$4:D20))*F20</f>
        <v>2.1534798686485565E-3</v>
      </c>
      <c r="H20" s="5"/>
      <c r="I20" s="5">
        <f>PRODUCT($D$4:D19)*F19</f>
        <v>0.65283555703292984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2">
        <f>'základné pravdepodobnosti 2021'!C52</f>
        <v>3.8236631832787478E-3</v>
      </c>
      <c r="D21" s="3">
        <f t="shared" si="0"/>
        <v>0.99617633681672124</v>
      </c>
      <c r="E21">
        <v>2.4580000000000002</v>
      </c>
      <c r="F21" s="3">
        <f t="shared" si="1"/>
        <v>0.64591335772898839</v>
      </c>
      <c r="G21" s="13">
        <f>(PRODUCT($D$4:D20)-PRODUCT($D$4:D21))*F21</f>
        <v>2.3981797656127588E-3</v>
      </c>
      <c r="H21" s="5"/>
      <c r="I21" s="5">
        <f>PRODUCT($D$4:D20)*F20</f>
        <v>0.63846665205996411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2">
        <f>'základné pravdepodobnosti 2021'!C53</f>
        <v>4.3508081972202517E-3</v>
      </c>
      <c r="D22" s="3">
        <f t="shared" si="0"/>
        <v>0.99564919180277978</v>
      </c>
      <c r="E22">
        <v>2.4239999999999999</v>
      </c>
      <c r="F22" s="3">
        <f t="shared" si="1"/>
        <v>0.63440570943635777</v>
      </c>
      <c r="G22" s="13">
        <f>(PRODUCT($D$4:D21)-PRODUCT($D$4:D22))*F22</f>
        <v>2.669937413805135E-3</v>
      </c>
      <c r="H22" s="5"/>
      <c r="I22" s="5">
        <f>PRODUCT($D$4:D21)*F21</f>
        <v>0.62479612335716872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2">
        <f>'základné pravdepodobnosti 2021'!C54</f>
        <v>4.7802607156820949E-3</v>
      </c>
      <c r="D23" s="3">
        <f t="shared" si="0"/>
        <v>0.99521973928431795</v>
      </c>
      <c r="E23">
        <v>2.399</v>
      </c>
      <c r="F23" s="3">
        <f t="shared" si="1"/>
        <v>0.62242308351708586</v>
      </c>
      <c r="G23" s="13">
        <f>(PRODUCT($D$4:D22)-PRODUCT($D$4:D23))*F23</f>
        <v>2.8655479514047427E-3</v>
      </c>
      <c r="H23" s="5"/>
      <c r="I23" s="5">
        <f>PRODUCT($D$4:D22)*F22</f>
        <v>0.61099476412624409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2">
        <f>'základné pravdepodobnosti 2021'!C55</f>
        <v>5.3683226934888488E-3</v>
      </c>
      <c r="D24" s="3">
        <f t="shared" si="0"/>
        <v>0.99463167730651114</v>
      </c>
      <c r="E24">
        <v>2.3839999999999999</v>
      </c>
      <c r="F24" s="3">
        <f t="shared" si="1"/>
        <v>0.6097138363711978</v>
      </c>
      <c r="G24" s="13">
        <f>(PRODUCT($D$4:D23)-PRODUCT($D$4:D24))*F24</f>
        <v>3.1372855659765704E-3</v>
      </c>
      <c r="H24" s="5"/>
      <c r="I24" s="5">
        <f>PRODUCT($D$4:D23)*F23</f>
        <v>0.59658877511597297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2">
        <f>'základné pravdepodobnosti 2021'!C56</f>
        <v>5.8385840569370583E-3</v>
      </c>
      <c r="D25" s="3">
        <f t="shared" si="0"/>
        <v>0.99416141594306295</v>
      </c>
      <c r="E25">
        <v>2.379</v>
      </c>
      <c r="F25" s="3">
        <f t="shared" si="1"/>
        <v>0.59615689248155235</v>
      </c>
      <c r="G25" s="13">
        <f>(PRODUCT($D$4:D24)-PRODUCT($D$4:D25))*F25</f>
        <v>3.318331579899345E-3</v>
      </c>
      <c r="H25" s="5"/>
      <c r="I25" s="5">
        <f>PRODUCT($D$4:D24)*F24</f>
        <v>0.58126975274073911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2">
        <f>'základné pravdepodobnosti 2021'!C57</f>
        <v>6.3944107580785536E-3</v>
      </c>
      <c r="D26" s="3">
        <f t="shared" si="0"/>
        <v>0.99360558924192144</v>
      </c>
      <c r="E26" s="43">
        <v>2.38</v>
      </c>
      <c r="F26" s="3">
        <f t="shared" si="1"/>
        <v>0.58217308069554108</v>
      </c>
      <c r="G26" s="13">
        <f>(PRODUCT($D$4:D25)-PRODUCT($D$4:D26))*F26</f>
        <v>3.5282652576103728E-3</v>
      </c>
      <c r="H26" s="5"/>
      <c r="I26" s="5">
        <f>PRODUCT($D$4:D25)*F25</f>
        <v>0.5650269294524759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2">
        <f>'základné pravdepodobnosti 2021'!C58</f>
        <v>6.9856464825959509E-3</v>
      </c>
      <c r="D27" s="3">
        <f t="shared" si="0"/>
        <v>0.99301435351740408</v>
      </c>
      <c r="E27">
        <v>2.387</v>
      </c>
      <c r="F27" s="3">
        <f t="shared" si="1"/>
        <v>0.56770715216320067</v>
      </c>
      <c r="G27" s="13">
        <f>(PRODUCT($D$4:D26)-PRODUCT($D$4:D27))*F27</f>
        <v>3.7346815218107627E-3</v>
      </c>
      <c r="H27" s="5"/>
      <c r="I27" s="5">
        <f>PRODUCT($D$4:D26)*F26</f>
        <v>0.54824505539634638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2">
        <f>'základné pravdepodobnosti 2021'!C59</f>
        <v>7.9751758402779125E-3</v>
      </c>
      <c r="D28" s="3">
        <f t="shared" si="0"/>
        <v>0.99202482415972204</v>
      </c>
      <c r="E28">
        <v>2.3969999999999998</v>
      </c>
      <c r="F28" s="3">
        <f t="shared" si="1"/>
        <v>0.55311976214736913</v>
      </c>
      <c r="G28" s="13">
        <f>(PRODUCT($D$4:D27)-PRODUCT($D$4:D28))*F28</f>
        <v>4.1251293609975478E-3</v>
      </c>
      <c r="H28" s="5"/>
      <c r="I28" s="5">
        <f>PRODUCT($D$4:D27)*F27</f>
        <v>0.53088749426612558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2">
        <f>'základné pravdepodobnosti 2021'!C60</f>
        <v>8.9823729596385515E-3</v>
      </c>
      <c r="D29" s="3">
        <f t="shared" si="0"/>
        <v>0.99101762704036145</v>
      </c>
      <c r="E29" s="43">
        <v>2.41</v>
      </c>
      <c r="F29" s="3">
        <f t="shared" si="1"/>
        <v>0.5383918541078454</v>
      </c>
      <c r="G29" s="13">
        <f>(PRODUCT($D$4:D28)-PRODUCT($D$4:D29))*F29</f>
        <v>4.4863198518750218E-3</v>
      </c>
      <c r="H29" s="5"/>
      <c r="I29" s="5">
        <f>PRODUCT($D$4:D28)*F28</f>
        <v>0.51312106603496477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2">
        <f>'základné pravdepodobnosti 2021'!C61</f>
        <v>9.8472600277920534E-3</v>
      </c>
      <c r="D30" s="3">
        <f t="shared" si="0"/>
        <v>0.99015273997220798</v>
      </c>
      <c r="E30">
        <v>2.4260000000000002</v>
      </c>
      <c r="F30" s="3">
        <f t="shared" si="1"/>
        <v>0.52350912543308847</v>
      </c>
      <c r="G30" s="13">
        <f>(PRODUCT($D$4:D29)-PRODUCT($D$4:D30))*F30</f>
        <v>4.7393819605547529E-3</v>
      </c>
      <c r="H30" s="5"/>
      <c r="I30" s="5">
        <f>PRODUCT($D$4:D29)*F29</f>
        <v>0.49497188256677971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2">
        <f>'základné pravdepodobnosti 2021'!C62</f>
        <v>1.062509620253387E-2</v>
      </c>
      <c r="D31" s="3">
        <f t="shared" si="0"/>
        <v>0.98937490379746618</v>
      </c>
      <c r="E31">
        <v>2.4430000000000001</v>
      </c>
      <c r="F31" s="3">
        <f t="shared" si="1"/>
        <v>0.50874005527143717</v>
      </c>
      <c r="G31" s="13">
        <f>(PRODUCT($D$4:D30)-PRODUCT($D$4:D31))*F31</f>
        <v>4.920543166156836E-3</v>
      </c>
      <c r="H31" s="5"/>
      <c r="I31" s="5">
        <f>PRODUCT($D$4:D30)*F30</f>
        <v>0.47655002719272593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2">
        <f>'základné pravdepodobnosti 2021'!C63</f>
        <v>1.1532022872793221E-2</v>
      </c>
      <c r="D32" s="3">
        <f t="shared" si="0"/>
        <v>0.9884679771272068</v>
      </c>
      <c r="E32">
        <v>2.4609999999999999</v>
      </c>
      <c r="F32" s="3">
        <f t="shared" si="1"/>
        <v>0.49408410706604067</v>
      </c>
      <c r="G32" s="13">
        <f>(PRODUCT($D$4:D31)-PRODUCT($D$4:D32))*F32</f>
        <v>5.1315848200067585E-3</v>
      </c>
      <c r="H32" s="5"/>
      <c r="I32" s="5">
        <f>PRODUCT($D$4:D31)*F31</f>
        <v>0.45818520875949775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2">
        <f>'základné pravdepodobnosti 2021'!C64</f>
        <v>1.282132401342323E-2</v>
      </c>
      <c r="D33" s="3">
        <f t="shared" si="0"/>
        <v>0.98717867598657683</v>
      </c>
      <c r="E33">
        <v>2.4790000000000001</v>
      </c>
      <c r="F33" s="3">
        <f t="shared" si="1"/>
        <v>0.47968223412986721</v>
      </c>
      <c r="G33" s="13">
        <f>(PRODUCT($D$4:D32)-PRODUCT($D$4:D33))*F33</f>
        <v>5.4751276122657335E-3</v>
      </c>
      <c r="H33" s="5"/>
      <c r="I33" s="5">
        <f>PRODUCT($D$4:D32)*F32</f>
        <v>0.4398540761184036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2">
        <f>'základné pravdepodobnosti 2021'!C65</f>
        <v>1.3993820694014239E-2</v>
      </c>
      <c r="D34" s="3">
        <f t="shared" si="0"/>
        <v>0.98600617930598577</v>
      </c>
      <c r="E34">
        <v>2.4990000000000001</v>
      </c>
      <c r="F34" s="3">
        <f t="shared" si="1"/>
        <v>0.46525550564194662</v>
      </c>
      <c r="G34" s="13">
        <f>(PRODUCT($D$4:D33)-PRODUCT($D$4:D34))*F34</f>
        <v>5.721782276274328E-3</v>
      </c>
      <c r="H34" s="5"/>
      <c r="I34" s="5">
        <f>PRODUCT($D$4:D33)*F33</f>
        <v>0.42155780646954832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2">
        <f>'základné pravdepodobnosti 2021'!C66</f>
        <v>1.5789362132141549E-2</v>
      </c>
      <c r="D35" s="22">
        <f t="shared" si="0"/>
        <v>0.98421063786785845</v>
      </c>
      <c r="E35">
        <v>2.5179999999999998</v>
      </c>
      <c r="F35" s="3">
        <f t="shared" si="1"/>
        <v>0.45122795589785897</v>
      </c>
      <c r="G35" s="13">
        <f>(PRODUCT($D$4:D34)-PRODUCT($D$4:D35))*F35</f>
        <v>6.1736744262973755E-3</v>
      </c>
      <c r="H35" s="5"/>
      <c r="I35" s="5">
        <f>PRODUCT($D$4:D34)*F34</f>
        <v>0.40315742243740199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2">
        <f>'základné pravdepodobnosti 2021'!C67</f>
        <v>1.7491725665991654E-2</v>
      </c>
      <c r="D36" s="22">
        <f t="shared" si="0"/>
        <v>0.98250827433400834</v>
      </c>
      <c r="E36">
        <v>2.5369999999999999</v>
      </c>
      <c r="F36" s="3">
        <f t="shared" si="1"/>
        <v>0.43746163821212275</v>
      </c>
      <c r="G36" s="13">
        <f>(PRODUCT($D$4:D35)-PRODUCT($D$4:D36))*F36</f>
        <v>6.5259512618308767E-3</v>
      </c>
      <c r="H36" s="5"/>
      <c r="I36" s="5">
        <f>PRODUCT($D$4:D35)*F35</f>
        <v>0.3848284683220749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2">
        <f>'základné pravdepodobnosti 2021'!C68</f>
        <v>1.921968630142732E-2</v>
      </c>
      <c r="D37" s="22">
        <f t="shared" si="0"/>
        <v>0.98078031369857266</v>
      </c>
      <c r="E37">
        <v>2.556</v>
      </c>
      <c r="F37" s="3">
        <f t="shared" si="1"/>
        <v>0.42395864437303077</v>
      </c>
      <c r="G37" s="13">
        <f>(PRODUCT($D$4:D36)-PRODUCT($D$4:D37))*F37</f>
        <v>6.8277435383804954E-3</v>
      </c>
      <c r="H37" s="5"/>
      <c r="I37" s="5">
        <f>PRODUCT($D$4:D36)*F36</f>
        <v>0.3665619524959417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2">
        <f>'základné pravdepodobnosti 2021'!C69</f>
        <v>2.0487828410334794E-2</v>
      </c>
      <c r="D38" s="22">
        <f t="shared" si="0"/>
        <v>0.97951217158966519</v>
      </c>
      <c r="E38">
        <v>2.5750000000000002</v>
      </c>
      <c r="F38" s="3">
        <f t="shared" si="1"/>
        <v>0.41072071052722531</v>
      </c>
      <c r="G38" s="13">
        <f>(PRODUCT($D$4:D37)-PRODUCT($D$4:D38))*F38</f>
        <v>6.9154696716397816E-3</v>
      </c>
      <c r="H38" s="5"/>
      <c r="I38" s="5">
        <f>PRODUCT($D$4:D37)*F37</f>
        <v>0.34841965391125529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2">
        <f>'základné pravdepodobnosti 2021'!C70</f>
        <v>2.1782008215735317E-2</v>
      </c>
      <c r="D39" s="22">
        <f t="shared" si="0"/>
        <v>0.97821799178426472</v>
      </c>
      <c r="E39">
        <v>2.5939999999999999</v>
      </c>
      <c r="F39" s="3">
        <f t="shared" si="1"/>
        <v>0.39774922579355743</v>
      </c>
      <c r="G39" s="13">
        <f>(PRODUCT($D$4:D38)-PRODUCT($D$4:D39))*F39</f>
        <v>6.9742297112131545E-3</v>
      </c>
      <c r="H39" s="5"/>
      <c r="I39" s="5">
        <f>PRODUCT($D$4:D38)*F38</f>
        <v>0.33062492422151496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2">
        <f>'základné pravdepodobnosti 2021'!C71</f>
        <v>2.3345392397782359E-2</v>
      </c>
      <c r="D40" s="22">
        <f t="shared" si="0"/>
        <v>0.97665460760221767</v>
      </c>
      <c r="E40">
        <v>2.6120000000000001</v>
      </c>
      <c r="F40" s="3">
        <f t="shared" si="1"/>
        <v>0.38518410583198032</v>
      </c>
      <c r="G40" s="13">
        <f>(PRODUCT($D$4:D39)-PRODUCT($D$4:D40))*F40</f>
        <v>7.0809930766685915E-3</v>
      </c>
      <c r="H40" s="5"/>
      <c r="I40" s="5">
        <f>PRODUCT($D$4:D39)*F39</f>
        <v>0.31320881503555054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2">
        <f>'základné pravdepodobnosti 2021'!C72</f>
        <v>2.5277617903692692E-2</v>
      </c>
      <c r="D41" s="22">
        <f t="shared" si="0"/>
        <v>0.97472238209630735</v>
      </c>
      <c r="E41" s="43">
        <v>2.63</v>
      </c>
      <c r="F41" s="3">
        <f t="shared" si="1"/>
        <v>0.37288550504536244</v>
      </c>
      <c r="G41" s="13">
        <f>(PRODUCT($D$4:D40)-PRODUCT($D$4:D41))*F41</f>
        <v>7.2489863700283532E-3</v>
      </c>
      <c r="H41" s="5"/>
      <c r="I41" s="5">
        <f>PRODUCT($D$4:D40)*F40</f>
        <v>0.29623338074132005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2">
        <f>'základné pravdepodobnosti 2021'!C73</f>
        <v>2.8097097063730259E-2</v>
      </c>
      <c r="D42" s="22">
        <f t="shared" si="0"/>
        <v>0.9719029029362698</v>
      </c>
      <c r="E42">
        <v>2.6469999999999998</v>
      </c>
      <c r="F42" s="3">
        <f t="shared" si="1"/>
        <v>0.36099053872165482</v>
      </c>
      <c r="G42" s="13">
        <f>(PRODUCT($D$4:D41)-PRODUCT($D$4:D42))*F42</f>
        <v>7.603330115843506E-3</v>
      </c>
      <c r="H42" s="5"/>
      <c r="I42" s="5">
        <f>PRODUCT($D$4:D41)*F41</f>
        <v>0.27952591455801279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238">
        <v>69</v>
      </c>
      <c r="B43" s="238">
        <v>40</v>
      </c>
      <c r="C43" s="239">
        <f>'základné pravdepodobnosti 2021'!C74</f>
        <v>3.1015541214860165E-2</v>
      </c>
      <c r="D43" s="240">
        <f t="shared" si="0"/>
        <v>0.96898445878513983</v>
      </c>
      <c r="E43" s="244">
        <v>2.6640000000000001</v>
      </c>
      <c r="F43" s="242">
        <f t="shared" si="1"/>
        <v>0.34935965470745112</v>
      </c>
      <c r="G43" s="243">
        <f>(PRODUCT($D$4:D42)-PRODUCT($D$4:D43))*F43</f>
        <v>7.8944443632163654E-3</v>
      </c>
      <c r="H43" s="243"/>
      <c r="I43" s="243">
        <f>PRODUCT($D$4:D42)*F42</f>
        <v>0.26300576870306824</v>
      </c>
      <c r="J43" s="243"/>
      <c r="K43" s="243"/>
      <c r="L43" s="5"/>
      <c r="M43" s="5"/>
      <c r="N43" s="5"/>
      <c r="O43" s="5"/>
      <c r="P43" s="5"/>
      <c r="Q43" s="5"/>
      <c r="R43" s="5"/>
    </row>
    <row r="44" spans="1:18" x14ac:dyDescent="0.25">
      <c r="A44" s="1">
        <v>70</v>
      </c>
      <c r="B44" s="1">
        <v>41</v>
      </c>
      <c r="C44" s="2"/>
      <c r="D44" s="22"/>
      <c r="E44" s="22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>
        <v>71</v>
      </c>
      <c r="B45" s="21">
        <v>42</v>
      </c>
      <c r="C45" s="20"/>
      <c r="D45" s="22"/>
      <c r="E45" s="22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>
        <v>72</v>
      </c>
      <c r="B46" s="21">
        <v>43</v>
      </c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">
        <v>73</v>
      </c>
      <c r="B47" s="1">
        <v>44</v>
      </c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>
        <v>74</v>
      </c>
      <c r="B48" s="21">
        <v>45</v>
      </c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>
        <v>75</v>
      </c>
      <c r="B49" s="21">
        <v>46</v>
      </c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1">
        <v>76</v>
      </c>
      <c r="B50" s="1">
        <v>47</v>
      </c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>
        <v>77</v>
      </c>
      <c r="B51" s="21">
        <v>48</v>
      </c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>
        <v>78</v>
      </c>
      <c r="B52" s="21">
        <v>49</v>
      </c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">
        <v>79</v>
      </c>
      <c r="B53" s="1">
        <v>50</v>
      </c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>
        <v>80</v>
      </c>
      <c r="B54" s="21">
        <v>51</v>
      </c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>
        <v>81</v>
      </c>
      <c r="B55" s="21">
        <v>52</v>
      </c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">
        <v>82</v>
      </c>
      <c r="B56" s="1">
        <v>53</v>
      </c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>
        <v>83</v>
      </c>
      <c r="B57" s="21">
        <v>54</v>
      </c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>
        <v>84</v>
      </c>
      <c r="B58" s="21">
        <v>55</v>
      </c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">
        <v>85</v>
      </c>
      <c r="B59" s="1">
        <v>56</v>
      </c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>
        <v>86</v>
      </c>
      <c r="B60" s="21">
        <v>57</v>
      </c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>
        <v>87</v>
      </c>
      <c r="B61" s="21">
        <v>58</v>
      </c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">
        <v>88</v>
      </c>
      <c r="B62" s="1">
        <v>59</v>
      </c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>
        <v>89</v>
      </c>
      <c r="B63" s="21">
        <v>60</v>
      </c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>
        <v>90</v>
      </c>
      <c r="B64" s="21">
        <v>61</v>
      </c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1">
        <v>91</v>
      </c>
      <c r="B65" s="1">
        <v>62</v>
      </c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>
        <v>92</v>
      </c>
      <c r="B66" s="21">
        <v>63</v>
      </c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>
        <v>93</v>
      </c>
      <c r="B67" s="21">
        <v>64</v>
      </c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1">
        <v>94</v>
      </c>
      <c r="B68" s="1">
        <v>65</v>
      </c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>
        <v>95</v>
      </c>
      <c r="B69" s="21">
        <v>66</v>
      </c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>
        <v>96</v>
      </c>
      <c r="B70" s="21">
        <v>67</v>
      </c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1">
        <v>97</v>
      </c>
      <c r="B71" s="1">
        <v>68</v>
      </c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>
        <v>98</v>
      </c>
      <c r="B72" s="21">
        <v>69</v>
      </c>
      <c r="C72" s="20"/>
      <c r="D72" s="22"/>
      <c r="E72" s="22"/>
      <c r="F72" s="22"/>
    </row>
    <row r="73" spans="1:18" x14ac:dyDescent="0.25">
      <c r="A73" s="21">
        <v>99</v>
      </c>
      <c r="B73" s="21">
        <v>70</v>
      </c>
      <c r="C73" s="20"/>
      <c r="D73" s="22"/>
      <c r="E73" s="22"/>
      <c r="F73" s="22"/>
    </row>
    <row r="74" spans="1:18" x14ac:dyDescent="0.25">
      <c r="A74" s="1">
        <v>100</v>
      </c>
      <c r="B74" s="1">
        <v>71</v>
      </c>
      <c r="C74" s="20"/>
      <c r="D74" s="22"/>
      <c r="E74" s="22"/>
      <c r="F74" s="22"/>
    </row>
    <row r="75" spans="1:18" x14ac:dyDescent="0.25">
      <c r="A75" s="21">
        <v>101</v>
      </c>
      <c r="B75" s="21">
        <v>72</v>
      </c>
      <c r="C75" s="20"/>
      <c r="D75" s="22"/>
      <c r="E75" s="22"/>
      <c r="F75" s="22"/>
    </row>
    <row r="76" spans="1:18" x14ac:dyDescent="0.25">
      <c r="A76" s="21">
        <v>102</v>
      </c>
      <c r="B76" s="21">
        <v>73</v>
      </c>
      <c r="C76" s="20"/>
      <c r="D76" s="22"/>
      <c r="E76" s="22"/>
      <c r="F76" s="22"/>
    </row>
    <row r="77" spans="1:18" x14ac:dyDescent="0.25">
      <c r="A77" s="1">
        <v>103</v>
      </c>
      <c r="B77" s="1">
        <v>74</v>
      </c>
      <c r="C77" s="20"/>
      <c r="D77" s="22"/>
      <c r="E77" s="22"/>
      <c r="F77" s="22"/>
    </row>
    <row r="78" spans="1:18" x14ac:dyDescent="0.25">
      <c r="A78" s="21">
        <v>104</v>
      </c>
      <c r="B78" s="21">
        <v>75</v>
      </c>
      <c r="C78" s="20"/>
      <c r="D78" s="22"/>
      <c r="E78" s="22"/>
      <c r="F78" s="22"/>
    </row>
    <row r="79" spans="1:18" x14ac:dyDescent="0.25">
      <c r="A79" s="21">
        <v>105</v>
      </c>
      <c r="B79" s="21">
        <v>76</v>
      </c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1"/>
      <c r="B82" s="1"/>
      <c r="C82" s="2"/>
      <c r="D82" s="3"/>
      <c r="E82" s="3"/>
      <c r="F82" s="3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topLeftCell="K1" zoomScale="180" zoomScaleNormal="180" workbookViewId="0">
      <selection activeCell="C4" sqref="C4:C43"/>
    </sheetView>
  </sheetViews>
  <sheetFormatPr defaultRowHeight="15" x14ac:dyDescent="0.25"/>
  <cols>
    <col min="1" max="1" width="6.85546875" customWidth="1"/>
    <col min="2" max="2" width="6.5703125" customWidth="1"/>
    <col min="3" max="3" width="11" customWidth="1"/>
    <col min="4" max="5" width="11.710937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5" max="15" width="13.28515625" customWidth="1"/>
    <col min="16" max="16" width="10.140625" customWidth="1"/>
    <col min="18" max="18" width="9.7109375" bestFit="1" customWidth="1"/>
    <col min="19" max="19" width="11.5703125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44" t="s">
        <v>14</v>
      </c>
      <c r="F2" s="14"/>
      <c r="G2" s="23"/>
      <c r="H2" s="23"/>
    </row>
    <row r="3" spans="1:20" x14ac:dyDescent="0.25">
      <c r="A3" s="15" t="s">
        <v>0</v>
      </c>
      <c r="B3" s="15" t="s">
        <v>2</v>
      </c>
      <c r="F3" s="10" t="s">
        <v>6</v>
      </c>
      <c r="G3" s="52">
        <f>SUM(G4:G43)</f>
        <v>9.4091341781872825E-2</v>
      </c>
      <c r="H3" s="70"/>
      <c r="I3" s="5">
        <f>SUM(I4:I43)</f>
        <v>24.93258414858931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65">
        <v>6.351877757641227E-4</v>
      </c>
      <c r="D4" s="3">
        <f>1-C4</f>
        <v>0.9993648122242359</v>
      </c>
      <c r="E4">
        <v>1.895</v>
      </c>
      <c r="F4" s="3">
        <f>1/(1+E4/100)^B4</f>
        <v>0.98140242406398737</v>
      </c>
      <c r="G4" s="51">
        <f>C4*F4</f>
        <v>6.2337482287072251E-4</v>
      </c>
      <c r="H4" s="11">
        <f>B1*G3</f>
        <v>940.91341781872825</v>
      </c>
      <c r="I4" s="5">
        <f>1</f>
        <v>1</v>
      </c>
      <c r="J4" s="24">
        <f>B1*G3/I3</f>
        <v>37.738303106136925</v>
      </c>
      <c r="K4" s="26">
        <f>PRODUCT(D4:D43)*F43</f>
        <v>0.28025900612652038</v>
      </c>
      <c r="L4" s="25">
        <f>I3-11/24*(1-K4)</f>
        <v>24.602702859730631</v>
      </c>
      <c r="M4" s="8">
        <f>B1*G3/(12*L4)</f>
        <v>3.1870259106056813</v>
      </c>
      <c r="N4" s="5"/>
      <c r="O4" s="41">
        <f>PRODUCT(D4:D43)*F43</f>
        <v>0.28025900612652038</v>
      </c>
      <c r="P4" s="9">
        <f>B1*O4/I3</f>
        <v>112.40672224598809</v>
      </c>
      <c r="Q4" s="5">
        <f>O4/(12*L4)</f>
        <v>9.4928257721784879E-4</v>
      </c>
      <c r="R4" s="8">
        <f>B1*O4</f>
        <v>2802.590061265204</v>
      </c>
      <c r="S4" s="36">
        <f>R4/(12*L4)</f>
        <v>9.4928257721784881</v>
      </c>
      <c r="T4" s="36">
        <f>B1*(O4+K9/100+K10/100*L4)/(12*(1-K11/100)*L4)</f>
        <v>12.982902322031309</v>
      </c>
    </row>
    <row r="5" spans="1:20" x14ac:dyDescent="0.25">
      <c r="A5" s="1">
        <v>31</v>
      </c>
      <c r="B5" s="1">
        <v>2</v>
      </c>
      <c r="C5" s="65">
        <v>6.4575519800419109E-4</v>
      </c>
      <c r="D5" s="3">
        <f t="shared" ref="D5:D43" si="0">1-C5</f>
        <v>0.99935424480199586</v>
      </c>
      <c r="E5">
        <v>2.2349999999999999</v>
      </c>
      <c r="F5" s="3">
        <f t="shared" ref="F5:F43" si="1">1/(1+E5/100)^B5</f>
        <v>0.95675512519189831</v>
      </c>
      <c r="G5" s="12">
        <f>(D4-PRODUCT(D4:D5))*F5</f>
        <v>6.1743715750335517E-4</v>
      </c>
      <c r="H5" s="5"/>
      <c r="I5" s="5">
        <f>D4*F4</f>
        <v>0.9807790492411167</v>
      </c>
      <c r="J5" s="5"/>
      <c r="K5" s="5"/>
      <c r="L5" s="5"/>
      <c r="M5" s="5"/>
      <c r="N5" s="5"/>
      <c r="O5" s="5"/>
      <c r="P5" s="5"/>
      <c r="Q5" s="5"/>
      <c r="R5" s="5"/>
    </row>
    <row r="6" spans="1:20" x14ac:dyDescent="0.25">
      <c r="A6" s="1">
        <v>32</v>
      </c>
      <c r="B6" s="1">
        <v>3</v>
      </c>
      <c r="C6" s="65">
        <v>7.0733642614240026E-4</v>
      </c>
      <c r="D6" s="3">
        <f t="shared" si="0"/>
        <v>0.9992926635738576</v>
      </c>
      <c r="E6">
        <v>2.2650000000000001</v>
      </c>
      <c r="F6" s="3">
        <f t="shared" si="1"/>
        <v>0.93501576177130874</v>
      </c>
      <c r="G6" s="13">
        <f>(PRODUCT($D$4:D5)-PRODUCT($D$4:D6))*F6</f>
        <v>6.6052380043577332E-4</v>
      </c>
      <c r="H6" s="5"/>
      <c r="I6" s="5">
        <f>PRODUCT($D$4:D5)*F5</f>
        <v>0.95552996887447339</v>
      </c>
      <c r="J6" s="24"/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65">
        <v>7.0995550128589362E-4</v>
      </c>
      <c r="D7" s="3">
        <f t="shared" si="0"/>
        <v>0.99929004449871406</v>
      </c>
      <c r="E7">
        <v>2.2919999999999998</v>
      </c>
      <c r="F7" s="3">
        <f t="shared" si="1"/>
        <v>0.91334177083315038</v>
      </c>
      <c r="G7" s="13">
        <f>(PRODUCT($D$4:D6)-PRODUCT($D$4:D7))*F7</f>
        <v>6.4714360403983549E-4</v>
      </c>
      <c r="H7" s="5"/>
      <c r="I7" s="5">
        <f>PRODUCT($D$4:D6)*F6</f>
        <v>0.93315791962131489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65">
        <v>7.594134502938465E-4</v>
      </c>
      <c r="D8" s="3">
        <f t="shared" si="0"/>
        <v>0.99924058654970616</v>
      </c>
      <c r="E8">
        <v>2.323</v>
      </c>
      <c r="F8" s="3">
        <f t="shared" si="1"/>
        <v>0.89152530871603453</v>
      </c>
      <c r="G8" s="13">
        <f>(PRODUCT($D$4:D7)-PRODUCT($D$4:D8))*F8</f>
        <v>6.7521135371989669E-4</v>
      </c>
      <c r="H8" s="5"/>
      <c r="I8" s="5">
        <f>PRODUCT($D$4:D7)*F7</f>
        <v>0.91087985050706977</v>
      </c>
      <c r="J8" s="5"/>
      <c r="K8" s="5"/>
      <c r="L8" s="5"/>
      <c r="M8" s="5"/>
      <c r="N8" s="5"/>
      <c r="O8" s="5"/>
      <c r="P8" s="5"/>
      <c r="Q8" s="5"/>
      <c r="R8" s="5"/>
    </row>
    <row r="9" spans="1:20" x14ac:dyDescent="0.25">
      <c r="A9" s="1">
        <v>35</v>
      </c>
      <c r="B9" s="1">
        <v>6</v>
      </c>
      <c r="C9" s="65">
        <v>8.279802028143497E-4</v>
      </c>
      <c r="D9" s="3">
        <f t="shared" si="0"/>
        <v>0.99917201979718562</v>
      </c>
      <c r="E9">
        <v>2.351</v>
      </c>
      <c r="F9" s="3">
        <f t="shared" si="1"/>
        <v>0.86985619090845567</v>
      </c>
      <c r="G9" s="13">
        <f>(PRODUCT($D$4:D8)-PRODUCT($D$4:D9))*F9</f>
        <v>7.1773686312309206E-4</v>
      </c>
      <c r="H9" s="5"/>
      <c r="I9" s="5">
        <f>PRODUCT($D$4:D8)*F8</f>
        <v>0.8884469834909966</v>
      </c>
      <c r="J9" s="40" t="s">
        <v>13</v>
      </c>
      <c r="K9" s="27">
        <v>5</v>
      </c>
      <c r="L9" s="5"/>
      <c r="M9" s="5"/>
      <c r="N9" s="5"/>
      <c r="O9" s="5"/>
      <c r="P9" s="5"/>
      <c r="Q9" s="5"/>
      <c r="R9" s="5"/>
      <c r="S9" s="36"/>
    </row>
    <row r="10" spans="1:20" x14ac:dyDescent="0.25">
      <c r="A10" s="1">
        <v>36</v>
      </c>
      <c r="B10" s="1">
        <v>7</v>
      </c>
      <c r="C10" s="65">
        <v>9.3958852840120614E-4</v>
      </c>
      <c r="D10" s="3">
        <f t="shared" si="0"/>
        <v>0.99906041147159874</v>
      </c>
      <c r="E10">
        <v>2.3769999999999998</v>
      </c>
      <c r="F10" s="3">
        <f t="shared" si="1"/>
        <v>0.84836590535103229</v>
      </c>
      <c r="G10" s="13">
        <f>(PRODUCT($D$4:D9)-PRODUCT($D$4:D10))*F10</f>
        <v>7.9370481828779451E-4</v>
      </c>
      <c r="H10" s="5"/>
      <c r="I10" s="5">
        <f>PRODUCT($D$4:D9)*F9</f>
        <v>0.8661349495699685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65">
        <v>1.0319366344008537E-3</v>
      </c>
      <c r="D11" s="3">
        <f t="shared" si="0"/>
        <v>0.99896806336559918</v>
      </c>
      <c r="E11">
        <v>2.411</v>
      </c>
      <c r="F11" s="3">
        <f t="shared" si="1"/>
        <v>0.82647009771891766</v>
      </c>
      <c r="G11" s="13">
        <f>(PRODUCT($D$4:D10)-PRODUCT($D$4:D11))*F11</f>
        <v>8.4841830514380474E-4</v>
      </c>
      <c r="H11" s="5"/>
      <c r="I11" s="5">
        <f>PRODUCT($D$4:D10)*F10</f>
        <v>0.84394289455073124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65">
        <v>1.0464696879975339E-3</v>
      </c>
      <c r="D12" s="3">
        <f t="shared" si="0"/>
        <v>0.99895353031200251</v>
      </c>
      <c r="E12">
        <v>2.4449999999999998</v>
      </c>
      <c r="F12" s="3">
        <f t="shared" si="1"/>
        <v>0.8046056889981662</v>
      </c>
      <c r="G12" s="13">
        <f>(PRODUCT($D$4:D11)-PRODUCT($D$4:D12))*F12</f>
        <v>8.3674131026288386E-4</v>
      </c>
      <c r="H12" s="5"/>
      <c r="I12" s="5">
        <f>PRODUCT($D$4:D11)*F11</f>
        <v>0.8213128238300218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65">
        <v>1.0284638099251429E-3</v>
      </c>
      <c r="D13" s="3">
        <f t="shared" si="0"/>
        <v>0.99897153619007484</v>
      </c>
      <c r="E13">
        <v>2.4830000000000001</v>
      </c>
      <c r="F13" s="3">
        <f t="shared" si="1"/>
        <v>0.7824952305219991</v>
      </c>
      <c r="G13" s="13">
        <f>(PRODUCT($D$4:D12)-PRODUCT($D$4:D13))*F13</f>
        <v>7.9890926557684501E-4</v>
      </c>
      <c r="H13" s="5"/>
      <c r="I13" s="5">
        <f>PRODUCT($D$4:D12)*F12</f>
        <v>0.79874811036761761</v>
      </c>
      <c r="J13" s="5"/>
      <c r="K13" s="29" t="s">
        <v>7</v>
      </c>
      <c r="L13" s="30" t="s">
        <v>8</v>
      </c>
      <c r="M13" s="5"/>
      <c r="N13" s="29" t="s">
        <v>22</v>
      </c>
      <c r="O13" s="5"/>
      <c r="P13" s="5"/>
      <c r="Q13" s="5"/>
      <c r="R13" s="5"/>
      <c r="S13" t="s">
        <v>24</v>
      </c>
    </row>
    <row r="14" spans="1:20" x14ac:dyDescent="0.25">
      <c r="A14" s="1">
        <v>40</v>
      </c>
      <c r="B14" s="1">
        <v>11</v>
      </c>
      <c r="C14" s="65">
        <v>1.0709044775518422E-3</v>
      </c>
      <c r="D14" s="3">
        <f t="shared" si="0"/>
        <v>0.99892909552244813</v>
      </c>
      <c r="E14">
        <v>2.532</v>
      </c>
      <c r="F14" s="3">
        <f t="shared" si="1"/>
        <v>0.75953236151181847</v>
      </c>
      <c r="G14" s="13">
        <f>(PRODUCT($D$4:D13)-PRODUCT($D$4:D14))*F14</f>
        <v>8.0663465390362577E-4</v>
      </c>
      <c r="H14" s="5"/>
      <c r="I14" s="5">
        <f>PRODUCT($D$4:D13)*F13</f>
        <v>0.77599970811599206</v>
      </c>
      <c r="J14" s="5"/>
      <c r="K14" s="8">
        <f>B1*(G3+K9/100+K10/100*I3)/((1-K11/100)*I3)</f>
        <v>78.578163249717377</v>
      </c>
      <c r="L14" s="8">
        <f>B1*(G3+K9/100+K10/100*L4)/(12*(1-K11/100)*L4)</f>
        <v>6.6134075123618086</v>
      </c>
      <c r="M14" s="5"/>
      <c r="N14" s="5"/>
      <c r="O14" s="8">
        <f>B1*(O4+K9/100+K10/100*I3)/((1-K11/100)*I3)</f>
        <v>154.00080884552662</v>
      </c>
      <c r="P14" s="5"/>
      <c r="Q14" s="5"/>
      <c r="R14" s="5"/>
      <c r="S14" s="36">
        <f>B1*(O4+G3+K9/100+K10/100*I3)/((1-K11/100)*I3)</f>
        <v>192.12030693253362</v>
      </c>
    </row>
    <row r="15" spans="1:20" x14ac:dyDescent="0.25">
      <c r="A15" s="1">
        <v>41</v>
      </c>
      <c r="B15" s="1">
        <v>12</v>
      </c>
      <c r="C15" s="65">
        <v>1.2274063642613777E-3</v>
      </c>
      <c r="D15" s="3">
        <f t="shared" si="0"/>
        <v>0.99877259363573867</v>
      </c>
      <c r="E15" s="43">
        <v>2.54</v>
      </c>
      <c r="F15" s="3">
        <f t="shared" si="1"/>
        <v>0.74008268361599594</v>
      </c>
      <c r="G15" s="13">
        <f>(PRODUCT($D$4:D14)-PRODUCT($D$4:D15))*F15</f>
        <v>8.998769657084896E-4</v>
      </c>
      <c r="H15" s="5"/>
      <c r="I15" s="5">
        <f>PRODUCT($D$4:D14)*F14</f>
        <v>0.75242082009318445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65">
        <v>1.4161826546013117E-3</v>
      </c>
      <c r="D16" s="3">
        <f t="shared" si="0"/>
        <v>0.99858381734539869</v>
      </c>
      <c r="E16" s="43">
        <v>2.5499999999999998</v>
      </c>
      <c r="F16" s="3">
        <f t="shared" si="1"/>
        <v>0.72083581873515035</v>
      </c>
      <c r="G16" s="13">
        <f>(PRODUCT($D$4:D15)-PRODUCT($D$4:D16))*F16</f>
        <v>1.0100358019489335E-3</v>
      </c>
      <c r="H16" s="5"/>
      <c r="I16" s="5">
        <f>PRODUCT($D$4:D15)*F15</f>
        <v>0.73225337358798459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65">
        <v>1.5622393001174472E-3</v>
      </c>
      <c r="D17" s="3">
        <f t="shared" si="0"/>
        <v>0.99843776069988255</v>
      </c>
      <c r="E17">
        <v>2.5609999999999999</v>
      </c>
      <c r="F17" s="3">
        <f t="shared" si="1"/>
        <v>0.70185685544270882</v>
      </c>
      <c r="G17" s="13">
        <f>(PRODUCT($D$4:D16)-PRODUCT($D$4:D17))*F17</f>
        <v>1.083332487926106E-3</v>
      </c>
      <c r="H17" s="5"/>
      <c r="I17" s="5">
        <f>PRODUCT($D$4:D16)*F16</f>
        <v>0.71220008484687625</v>
      </c>
      <c r="J17" s="5"/>
      <c r="K17" s="5">
        <v>0.25376779119309428</v>
      </c>
      <c r="L17" s="8">
        <f>B1*(K17+K9/100+K10/100*L4)/(12*(1-K11/100)*L4)</f>
        <v>12.07653839135471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65">
        <v>1.7069170953454866E-3</v>
      </c>
      <c r="D18" s="3">
        <f t="shared" si="0"/>
        <v>0.99829308290465446</v>
      </c>
      <c r="E18">
        <v>2.5579999999999998</v>
      </c>
      <c r="F18" s="3">
        <f t="shared" si="1"/>
        <v>0.68463146471630254</v>
      </c>
      <c r="G18" s="13">
        <f>(PRODUCT($D$4:D17)-PRODUCT($D$4:D18))*F18</f>
        <v>1.1528052421147922E-3</v>
      </c>
      <c r="H18" s="5"/>
      <c r="I18" s="5">
        <f>PRODUCT($D$4:D17)*F17</f>
        <v>0.69236516022677697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65">
        <v>1.79244123660696E-3</v>
      </c>
      <c r="D19" s="3">
        <f t="shared" si="0"/>
        <v>0.99820755876339307</v>
      </c>
      <c r="E19">
        <v>2.5339999999999998</v>
      </c>
      <c r="F19" s="3">
        <f t="shared" si="1"/>
        <v>0.67005985251452693</v>
      </c>
      <c r="G19" s="13">
        <f>(PRODUCT($D$4:D18)-PRODUCT($D$4:D19))*F19</f>
        <v>1.1827780214615231E-3</v>
      </c>
      <c r="H19" s="5"/>
      <c r="I19" s="5">
        <f>PRODUCT($D$4:D18)*F18</f>
        <v>0.67421991511922208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65">
        <v>1.9609889240404178E-3</v>
      </c>
      <c r="D20" s="3">
        <f t="shared" si="0"/>
        <v>0.9980390110759596</v>
      </c>
      <c r="E20">
        <v>2.4969999999999999</v>
      </c>
      <c r="F20" s="3">
        <f t="shared" si="1"/>
        <v>0.65752213783948488</v>
      </c>
      <c r="G20" s="13">
        <f>(PRODUCT($D$4:D19)-PRODUCT($D$4:D20))*F20</f>
        <v>1.267509129478596E-3</v>
      </c>
      <c r="H20" s="5"/>
      <c r="I20" s="5">
        <f>PRODUCT($D$4:D19)*F19</f>
        <v>0.65868712304180066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65">
        <v>2.1915353318650377E-3</v>
      </c>
      <c r="D21" s="3">
        <f t="shared" si="0"/>
        <v>0.997808464668135</v>
      </c>
      <c r="E21">
        <v>2.4580000000000002</v>
      </c>
      <c r="F21" s="3">
        <f t="shared" si="1"/>
        <v>0.64591335772898839</v>
      </c>
      <c r="G21" s="13">
        <f>(PRODUCT($D$4:D20)-PRODUCT($D$4:D21))*F21</f>
        <v>1.388787618091197E-3</v>
      </c>
      <c r="H21" s="5"/>
      <c r="I21" s="5">
        <f>PRODUCT($D$4:D20)*F20</f>
        <v>0.64509469819347831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65">
        <v>2.50621450025804E-3</v>
      </c>
      <c r="D22" s="3">
        <f t="shared" si="0"/>
        <v>0.99749378549974199</v>
      </c>
      <c r="E22">
        <v>2.4239999999999999</v>
      </c>
      <c r="F22" s="3">
        <f t="shared" si="1"/>
        <v>0.63440570943635777</v>
      </c>
      <c r="G22" s="13">
        <f>(PRODUCT($D$4:D21)-PRODUCT($D$4:D22))*F22</f>
        <v>1.5564873598521765E-3</v>
      </c>
      <c r="H22" s="5"/>
      <c r="I22" s="5">
        <f>PRODUCT($D$4:D21)*F21</f>
        <v>0.63231654119782965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65">
        <v>2.7492339648723255E-3</v>
      </c>
      <c r="D23" s="3">
        <f t="shared" si="0"/>
        <v>0.99725076603512763</v>
      </c>
      <c r="E23">
        <v>2.399</v>
      </c>
      <c r="F23" s="3">
        <f t="shared" si="1"/>
        <v>0.62242308351708586</v>
      </c>
      <c r="G23" s="13">
        <f>(PRODUCT($D$4:D22)-PRODUCT($D$4:D23))*F23</f>
        <v>1.6709669768340885E-3</v>
      </c>
      <c r="H23" s="5"/>
      <c r="I23" s="5">
        <f>PRODUCT($D$4:D22)*F22</f>
        <v>0.61949464760562889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65">
        <v>2.9586052969170283E-3</v>
      </c>
      <c r="D24" s="3">
        <f t="shared" si="0"/>
        <v>0.99704139470308295</v>
      </c>
      <c r="E24">
        <v>2.3839999999999999</v>
      </c>
      <c r="F24" s="3">
        <f t="shared" si="1"/>
        <v>0.6097138363711978</v>
      </c>
      <c r="G24" s="13">
        <f>(PRODUCT($D$4:D23)-PRODUCT($D$4:D24))*F24</f>
        <v>1.756660902076541E-3</v>
      </c>
      <c r="H24" s="5"/>
      <c r="I24" s="5">
        <f>PRODUCT($D$4:D23)*F23</f>
        <v>0.60612269416093245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65">
        <v>3.3615550953189706E-3</v>
      </c>
      <c r="D25" s="3">
        <f t="shared" si="0"/>
        <v>0.99663844490468101</v>
      </c>
      <c r="E25">
        <v>2.379</v>
      </c>
      <c r="F25" s="3">
        <f t="shared" si="1"/>
        <v>0.59615689248155235</v>
      </c>
      <c r="G25" s="13">
        <f>(PRODUCT($D$4:D24)-PRODUCT($D$4:D25))*F25</f>
        <v>1.9457580989512594E-3</v>
      </c>
      <c r="H25" s="5"/>
      <c r="I25" s="5">
        <f>PRODUCT($D$4:D24)*F24</f>
        <v>0.59198962350667594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65">
        <v>3.8236631832787478E-3</v>
      </c>
      <c r="D26" s="3">
        <f t="shared" si="0"/>
        <v>0.99617633681672124</v>
      </c>
      <c r="E26" s="43">
        <v>2.38</v>
      </c>
      <c r="F26" s="3">
        <f t="shared" si="1"/>
        <v>0.58217308069554108</v>
      </c>
      <c r="G26" s="13">
        <f>(PRODUCT($D$4:D25)-PRODUCT($D$4:D26))*F26</f>
        <v>2.1540581794638114E-3</v>
      </c>
      <c r="H26" s="5"/>
      <c r="I26" s="5">
        <f>PRODUCT($D$4:D25)*F25</f>
        <v>0.57688101813350545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65">
        <v>4.3508081972202517E-3</v>
      </c>
      <c r="D27" s="3">
        <f t="shared" si="0"/>
        <v>0.99564919180277978</v>
      </c>
      <c r="E27">
        <v>2.387</v>
      </c>
      <c r="F27" s="3">
        <f t="shared" si="1"/>
        <v>0.56770715216320067</v>
      </c>
      <c r="G27" s="13">
        <f>(PRODUCT($D$4:D26)-PRODUCT($D$4:D27))*F27</f>
        <v>2.3809825068551449E-3</v>
      </c>
      <c r="H27" s="5"/>
      <c r="I27" s="5">
        <f>PRODUCT($D$4:D26)*F26</f>
        <v>0.56119529457830153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65">
        <v>4.7802607156820949E-3</v>
      </c>
      <c r="D28" s="3">
        <f t="shared" si="0"/>
        <v>0.99521973928431795</v>
      </c>
      <c r="E28">
        <v>2.3969999999999998</v>
      </c>
      <c r="F28" s="3">
        <f t="shared" si="1"/>
        <v>0.55311976214736913</v>
      </c>
      <c r="G28" s="13">
        <f>(PRODUCT($D$4:D27)-PRODUCT($D$4:D28))*F28</f>
        <v>2.5376925551731603E-3</v>
      </c>
      <c r="H28" s="5"/>
      <c r="I28" s="5">
        <f>PRODUCT($D$4:D27)*F27</f>
        <v>0.54486964287726725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65">
        <v>5.3683226934888488E-3</v>
      </c>
      <c r="D29" s="3">
        <f t="shared" si="0"/>
        <v>0.99463167730651114</v>
      </c>
      <c r="E29" s="43">
        <v>2.41</v>
      </c>
      <c r="F29" s="3">
        <f t="shared" si="1"/>
        <v>0.5383918541078454</v>
      </c>
      <c r="G29" s="13">
        <f>(PRODUCT($D$4:D28)-PRODUCT($D$4:D29))*F29</f>
        <v>2.7607324610199593E-3</v>
      </c>
      <c r="H29" s="5"/>
      <c r="I29" s="5">
        <f>PRODUCT($D$4:D28)*F28</f>
        <v>0.52833137633222715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65">
        <v>5.8385840569370583E-3</v>
      </c>
      <c r="D30" s="3">
        <f t="shared" si="0"/>
        <v>0.99416141594306295</v>
      </c>
      <c r="E30">
        <v>2.4260000000000002</v>
      </c>
      <c r="F30" s="3">
        <f t="shared" si="1"/>
        <v>0.52350912543308847</v>
      </c>
      <c r="G30" s="13">
        <f>(PRODUCT($D$4:D29)-PRODUCT($D$4:D30))*F30</f>
        <v>2.903897666872718E-3</v>
      </c>
      <c r="H30" s="5"/>
      <c r="I30" s="5">
        <f>PRODUCT($D$4:D29)*F29</f>
        <v>0.51150277564894886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65">
        <v>6.3944107580785536E-3</v>
      </c>
      <c r="D31" s="3">
        <f t="shared" si="0"/>
        <v>0.99360558924192144</v>
      </c>
      <c r="E31">
        <v>2.4430000000000001</v>
      </c>
      <c r="F31" s="3">
        <f t="shared" si="1"/>
        <v>0.50874005527143717</v>
      </c>
      <c r="G31" s="13">
        <f>(PRODUCT($D$4:D30)-PRODUCT($D$4:D31))*F31</f>
        <v>3.0725777528611445E-3</v>
      </c>
      <c r="H31" s="5"/>
      <c r="I31" s="5">
        <f>PRODUCT($D$4:D30)*F30</f>
        <v>0.49445944223785798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65">
        <v>6.9856464825959509E-3</v>
      </c>
      <c r="D32" s="3">
        <f t="shared" si="0"/>
        <v>0.99301435351740408</v>
      </c>
      <c r="E32">
        <v>2.4609999999999999</v>
      </c>
      <c r="F32" s="3">
        <f t="shared" si="1"/>
        <v>0.49408410706604067</v>
      </c>
      <c r="G32" s="13">
        <f>(PRODUCT($D$4:D31)-PRODUCT($D$4:D32))*F32</f>
        <v>3.2391266726991366E-3</v>
      </c>
      <c r="H32" s="5"/>
      <c r="I32" s="5">
        <f>PRODUCT($D$4:D31)*F31</f>
        <v>0.47743733459196869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65">
        <v>7.9751758402779125E-3</v>
      </c>
      <c r="D33" s="3">
        <f t="shared" si="0"/>
        <v>0.99202482415972204</v>
      </c>
      <c r="E33">
        <v>2.4790000000000001</v>
      </c>
      <c r="F33" s="3">
        <f t="shared" si="1"/>
        <v>0.47968223412986721</v>
      </c>
      <c r="G33" s="13">
        <f>(PRODUCT($D$4:D32)-PRODUCT($D$4:D33))*F33</f>
        <v>3.5650848561587724E-3</v>
      </c>
      <c r="H33" s="5"/>
      <c r="I33" s="5">
        <f>PRODUCT($D$4:D32)*F32</f>
        <v>0.46044403862475813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65">
        <v>8.9823729596385515E-3</v>
      </c>
      <c r="D34" s="3">
        <f t="shared" si="0"/>
        <v>0.99101762704036145</v>
      </c>
      <c r="E34">
        <v>2.4990000000000001</v>
      </c>
      <c r="F34" s="3">
        <f t="shared" si="1"/>
        <v>0.46525550564194662</v>
      </c>
      <c r="G34" s="13">
        <f>(PRODUCT($D$4:D33)-PRODUCT($D$4:D34))*F34</f>
        <v>3.8635017628508394E-3</v>
      </c>
      <c r="H34" s="5"/>
      <c r="I34" s="5">
        <f>PRODUCT($D$4:D33)*F33</f>
        <v>0.44345764261194248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65">
        <v>9.8472600277920534E-3</v>
      </c>
      <c r="D35" s="22">
        <f t="shared" si="0"/>
        <v>0.99015273997220798</v>
      </c>
      <c r="E35">
        <v>2.5179999999999998</v>
      </c>
      <c r="F35" s="3">
        <f t="shared" si="1"/>
        <v>0.45122795589785897</v>
      </c>
      <c r="G35" s="13">
        <f>(PRODUCT($D$4:D34)-PRODUCT($D$4:D35))*F35</f>
        <v>4.070908059362284E-3</v>
      </c>
      <c r="H35" s="5"/>
      <c r="I35" s="5">
        <f>PRODUCT($D$4:D34)*F34</f>
        <v>0.42625688849606047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65">
        <v>1.062509620253387E-2</v>
      </c>
      <c r="D36" s="22">
        <f t="shared" si="0"/>
        <v>0.98937490379746618</v>
      </c>
      <c r="E36">
        <v>2.5369999999999999</v>
      </c>
      <c r="F36" s="3">
        <f t="shared" si="1"/>
        <v>0.43746163821212275</v>
      </c>
      <c r="G36" s="13">
        <f>(PRODUCT($D$4:D35)-PRODUCT($D$4:D36))*F36</f>
        <v>4.2165274200108615E-3</v>
      </c>
      <c r="H36" s="5"/>
      <c r="I36" s="5">
        <f>PRODUCT($D$4:D35)*F35</f>
        <v>0.40933424706733507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65">
        <v>1.1532022872793221E-2</v>
      </c>
      <c r="D37" s="22">
        <f t="shared" si="0"/>
        <v>0.9884679771272068</v>
      </c>
      <c r="E37">
        <v>2.556</v>
      </c>
      <c r="F37" s="3">
        <f t="shared" si="1"/>
        <v>0.42395864437303077</v>
      </c>
      <c r="G37" s="13">
        <f>(PRODUCT($D$4:D36)-PRODUCT($D$4:D37))*F37</f>
        <v>4.3880539940692473E-3</v>
      </c>
      <c r="H37" s="5"/>
      <c r="I37" s="5">
        <f>PRODUCT($D$4:D36)*F36</f>
        <v>0.39262951892499098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65">
        <v>1.282132401342323E-2</v>
      </c>
      <c r="D38" s="22">
        <f t="shared" si="0"/>
        <v>0.98717867598657683</v>
      </c>
      <c r="E38">
        <v>2.5750000000000002</v>
      </c>
      <c r="F38" s="3">
        <f t="shared" si="1"/>
        <v>0.41072071052722531</v>
      </c>
      <c r="G38" s="13">
        <f>(PRODUCT($D$4:D37)-PRODUCT($D$4:D38))*F38</f>
        <v>4.6718087464155955E-3</v>
      </c>
      <c r="H38" s="5"/>
      <c r="I38" s="5">
        <f>PRODUCT($D$4:D37)*F37</f>
        <v>0.37612229032910433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65">
        <v>1.3993820694014239E-2</v>
      </c>
      <c r="D39" s="22">
        <f t="shared" si="0"/>
        <v>0.98600617930598577</v>
      </c>
      <c r="E39">
        <v>2.5939999999999999</v>
      </c>
      <c r="F39" s="3">
        <f t="shared" si="1"/>
        <v>0.39774922579355743</v>
      </c>
      <c r="G39" s="13">
        <f>(PRODUCT($D$4:D38)-PRODUCT($D$4:D39))*F39</f>
        <v>4.8746898675508564E-3</v>
      </c>
      <c r="H39" s="5"/>
      <c r="I39" s="5">
        <f>PRODUCT($D$4:D38)*F38</f>
        <v>0.35970621816597553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65">
        <v>1.5789362132141549E-2</v>
      </c>
      <c r="D40" s="22">
        <f t="shared" si="0"/>
        <v>0.98421063786785845</v>
      </c>
      <c r="E40">
        <v>2.6120000000000001</v>
      </c>
      <c r="F40" s="3">
        <f t="shared" si="1"/>
        <v>0.38518410583198032</v>
      </c>
      <c r="G40" s="13">
        <f>(PRODUCT($D$4:D39)-PRODUCT($D$4:D40))*F40</f>
        <v>5.251869464434197E-3</v>
      </c>
      <c r="H40" s="5"/>
      <c r="I40" s="5">
        <f>PRODUCT($D$4:D39)*F39</f>
        <v>0.34347119608738053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65">
        <v>1.7491725665991654E-2</v>
      </c>
      <c r="D41" s="22">
        <f t="shared" si="0"/>
        <v>0.98250827433400834</v>
      </c>
      <c r="E41" s="43">
        <v>2.63</v>
      </c>
      <c r="F41" s="3">
        <f t="shared" si="1"/>
        <v>0.37288550504536244</v>
      </c>
      <c r="G41" s="13">
        <f>(PRODUCT($D$4:D40)-PRODUCT($D$4:D41))*F41</f>
        <v>5.5434124555362313E-3</v>
      </c>
      <c r="H41" s="5"/>
      <c r="I41" s="5">
        <f>PRODUCT($D$4:D40)*F40</f>
        <v>0.32736887990347413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65">
        <v>1.921968630142732E-2</v>
      </c>
      <c r="D42" s="22">
        <f t="shared" si="0"/>
        <v>0.98078031369857266</v>
      </c>
      <c r="E42">
        <v>2.6469999999999998</v>
      </c>
      <c r="F42" s="3">
        <f t="shared" si="1"/>
        <v>0.36099053872165482</v>
      </c>
      <c r="G42" s="13">
        <f>(PRODUCT($D$4:D41)-PRODUCT($D$4:D42))*F42</f>
        <v>5.7935847633139278E-3</v>
      </c>
      <c r="H42" s="5"/>
      <c r="I42" s="5">
        <f>PRODUCT($D$4:D41)*F41</f>
        <v>0.31137285763632921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69</v>
      </c>
      <c r="B43" s="1">
        <v>40</v>
      </c>
      <c r="C43" s="65">
        <v>2.0487828410334794E-2</v>
      </c>
      <c r="D43" s="22">
        <f t="shared" si="0"/>
        <v>0.97951217158966519</v>
      </c>
      <c r="E43">
        <v>2.6640000000000001</v>
      </c>
      <c r="F43" s="3">
        <f t="shared" si="1"/>
        <v>0.34935965470745112</v>
      </c>
      <c r="G43" s="13">
        <f>(PRODUCT($D$4:D42)-PRODUCT($D$4:D43))*F43</f>
        <v>5.8619980379136143E-3</v>
      </c>
      <c r="H43" s="5"/>
      <c r="I43" s="5">
        <f>PRODUCT($D$4:D42)*F42</f>
        <v>0.29564654659219575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/>
      <c r="B44" s="1"/>
      <c r="C44" s="65">
        <v>5.0893397860034509E-2</v>
      </c>
      <c r="D44" s="22"/>
      <c r="E44" s="22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/>
      <c r="B45" s="21"/>
      <c r="C45" s="20"/>
      <c r="D45" s="22"/>
      <c r="E45" s="22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1"/>
      <c r="B82" s="1"/>
      <c r="C82" s="2"/>
      <c r="D82" s="3"/>
      <c r="E82" s="3"/>
      <c r="F82" s="3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9"/>
  <sheetViews>
    <sheetView topLeftCell="K1" zoomScale="180" zoomScaleNormal="180" workbookViewId="0">
      <selection activeCell="C4" sqref="C4:C44"/>
    </sheetView>
  </sheetViews>
  <sheetFormatPr defaultRowHeight="15" x14ac:dyDescent="0.25"/>
  <cols>
    <col min="1" max="1" width="6.85546875" customWidth="1"/>
    <col min="2" max="2" width="6.5703125" customWidth="1"/>
    <col min="4" max="5" width="11.710937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5" max="15" width="13.28515625" customWidth="1"/>
    <col min="16" max="16" width="10.140625" customWidth="1"/>
    <col min="18" max="18" width="9.7109375" bestFit="1" customWidth="1"/>
    <col min="19" max="19" width="11.5703125" customWidth="1"/>
  </cols>
  <sheetData>
    <row r="1" spans="1:20" ht="20.25" customHeight="1" thickBot="1" x14ac:dyDescent="0.3">
      <c r="A1" t="s">
        <v>3</v>
      </c>
      <c r="B1">
        <v>10000</v>
      </c>
    </row>
    <row r="2" spans="1:20" x14ac:dyDescent="0.25">
      <c r="E2" s="44" t="s">
        <v>14</v>
      </c>
      <c r="F2" s="14"/>
      <c r="G2" s="23"/>
      <c r="H2" s="23"/>
    </row>
    <row r="3" spans="1:20" x14ac:dyDescent="0.25">
      <c r="A3" s="15" t="s">
        <v>0</v>
      </c>
      <c r="B3" s="15" t="s">
        <v>2</v>
      </c>
      <c r="F3" s="10" t="s">
        <v>6</v>
      </c>
      <c r="G3" s="52">
        <f>SUM(G4:G43)</f>
        <v>0.2067886759109272</v>
      </c>
      <c r="H3" s="54"/>
      <c r="I3" s="5">
        <f>SUM(I4:I43)</f>
        <v>23.704259106999125</v>
      </c>
      <c r="J3" s="5"/>
      <c r="K3" s="5"/>
      <c r="L3" s="5"/>
      <c r="M3" s="7"/>
      <c r="N3" s="7"/>
      <c r="O3" s="7"/>
      <c r="P3" s="7"/>
      <c r="Q3" s="5"/>
      <c r="R3" s="5"/>
    </row>
    <row r="4" spans="1:20" x14ac:dyDescent="0.25">
      <c r="A4" s="1">
        <v>30</v>
      </c>
      <c r="B4" s="1">
        <v>1</v>
      </c>
      <c r="C4" s="65">
        <v>1.0709044775518422E-3</v>
      </c>
      <c r="D4" s="3">
        <f>1-C4</f>
        <v>0.99892909552244813</v>
      </c>
      <c r="E4">
        <v>1.895</v>
      </c>
      <c r="F4" s="3">
        <f>1/(1+E4/100)^B4</f>
        <v>0.98140242406398737</v>
      </c>
      <c r="G4" s="51">
        <f>C4*F4</f>
        <v>1.0509882502103558E-3</v>
      </c>
      <c r="H4" s="11">
        <f>B1*G3</f>
        <v>2067.8867591092721</v>
      </c>
      <c r="I4" s="5">
        <f>1</f>
        <v>1</v>
      </c>
      <c r="J4" s="24">
        <f>B1*G3/I3</f>
        <v>87.236928594772664</v>
      </c>
      <c r="K4" s="26">
        <f>PRODUCT(D4:D43)*F43</f>
        <v>0.20243680064051553</v>
      </c>
      <c r="L4" s="25">
        <f>I3-11/24*(1-K4)</f>
        <v>23.338709307292696</v>
      </c>
      <c r="M4" s="8">
        <f>B1*G3/(12*L4)</f>
        <v>7.3836086787624087</v>
      </c>
      <c r="N4" s="5"/>
      <c r="O4" s="41">
        <f>PRODUCT(D4:D43)*F43</f>
        <v>0.20243680064051553</v>
      </c>
      <c r="P4" s="9">
        <f>B1*O4/I3</f>
        <v>85.401024232283334</v>
      </c>
      <c r="Q4" s="5">
        <f>O4/(12*L4)</f>
        <v>7.2282203632564673E-4</v>
      </c>
      <c r="R4" s="8">
        <f>B1*O4</f>
        <v>2024.3680064051553</v>
      </c>
      <c r="S4" s="36">
        <f>R4/(12*L4)</f>
        <v>7.228220363256467</v>
      </c>
      <c r="T4" s="36">
        <f>B1*(O4+K9/100+K10/100*L4)/(12*(1-K11/100)*L4)</f>
        <v>10.788070690736653</v>
      </c>
    </row>
    <row r="5" spans="1:20" x14ac:dyDescent="0.25">
      <c r="A5" s="1">
        <v>31</v>
      </c>
      <c r="B5" s="1">
        <v>2</v>
      </c>
      <c r="C5" s="65">
        <v>1.2274063642613777E-3</v>
      </c>
      <c r="D5" s="3">
        <f t="shared" ref="D5:D43" si="0">1-C5</f>
        <v>0.99877259363573867</v>
      </c>
      <c r="E5">
        <v>2.2349999999999999</v>
      </c>
      <c r="F5" s="3">
        <f t="shared" ref="F5:F43" si="1">1/(1+E5/100)^B5</f>
        <v>0.95675512519189831</v>
      </c>
      <c r="G5" s="12">
        <f>(D4-PRODUCT(D4:D5))*F5</f>
        <v>1.1730697373046478E-3</v>
      </c>
      <c r="H5" s="5"/>
      <c r="I5" s="5">
        <f>D4*F4</f>
        <v>0.98035143581377693</v>
      </c>
      <c r="J5" s="5"/>
      <c r="K5" s="5"/>
      <c r="L5" s="5"/>
      <c r="M5" s="5"/>
      <c r="N5" s="5"/>
      <c r="O5" s="5"/>
      <c r="P5" s="5"/>
      <c r="Q5" s="5"/>
      <c r="R5" s="5"/>
    </row>
    <row r="6" spans="1:20" x14ac:dyDescent="0.25">
      <c r="A6" s="1">
        <v>32</v>
      </c>
      <c r="B6" s="1">
        <v>3</v>
      </c>
      <c r="C6" s="65">
        <v>1.4161826546013117E-3</v>
      </c>
      <c r="D6" s="3">
        <f t="shared" si="0"/>
        <v>0.99858381734539869</v>
      </c>
      <c r="E6">
        <v>2.2650000000000001</v>
      </c>
      <c r="F6" s="3">
        <f t="shared" si="1"/>
        <v>0.93501576177130874</v>
      </c>
      <c r="G6" s="13">
        <f>(PRODUCT($D$4:D5)-PRODUCT($D$4:D6))*F6</f>
        <v>1.3211115286782501E-3</v>
      </c>
      <c r="H6" s="5"/>
      <c r="I6" s="5">
        <f>PRODUCT($D$4:D5)*F5</f>
        <v>0.95455746210710501</v>
      </c>
      <c r="J6" s="24"/>
      <c r="K6" s="5"/>
      <c r="L6" s="5"/>
      <c r="M6" s="5"/>
      <c r="N6" s="5"/>
      <c r="O6" s="5"/>
      <c r="P6" s="5"/>
      <c r="Q6" s="5"/>
      <c r="R6" s="5"/>
    </row>
    <row r="7" spans="1:20" x14ac:dyDescent="0.25">
      <c r="A7" s="1">
        <v>33</v>
      </c>
      <c r="B7" s="1">
        <v>4</v>
      </c>
      <c r="C7" s="65">
        <v>1.5622393001174472E-3</v>
      </c>
      <c r="D7" s="3">
        <f t="shared" si="0"/>
        <v>0.99843776069988255</v>
      </c>
      <c r="E7">
        <v>2.2919999999999998</v>
      </c>
      <c r="F7" s="3">
        <f t="shared" si="1"/>
        <v>0.91334177083315038</v>
      </c>
      <c r="G7" s="13">
        <f>(PRODUCT($D$4:D6)-PRODUCT($D$4:D7))*F7</f>
        <v>1.4215648695896897E-3</v>
      </c>
      <c r="H7" s="5"/>
      <c r="I7" s="5">
        <f>PRODUCT($D$4:D6)*F6</f>
        <v>0.93154692239750125</v>
      </c>
      <c r="J7" s="5"/>
      <c r="K7" s="5"/>
      <c r="L7" s="5"/>
      <c r="M7" s="5"/>
      <c r="N7" s="5"/>
      <c r="O7" s="5"/>
      <c r="P7" s="5"/>
      <c r="Q7" s="5"/>
      <c r="R7" s="5"/>
    </row>
    <row r="8" spans="1:20" x14ac:dyDescent="0.25">
      <c r="A8" s="1">
        <v>34</v>
      </c>
      <c r="B8" s="1">
        <v>5</v>
      </c>
      <c r="C8" s="65">
        <v>1.7069170953454866E-3</v>
      </c>
      <c r="D8" s="3">
        <f t="shared" si="0"/>
        <v>0.99829308290465446</v>
      </c>
      <c r="E8">
        <v>2.323</v>
      </c>
      <c r="F8" s="3">
        <f t="shared" si="1"/>
        <v>0.89152530871603453</v>
      </c>
      <c r="G8" s="13">
        <f>(PRODUCT($D$4:D7)-PRODUCT($D$4:D8))*F8</f>
        <v>1.5137456408778763E-3</v>
      </c>
      <c r="H8" s="5"/>
      <c r="I8" s="5">
        <f>PRODUCT($D$4:D7)*F7</f>
        <v>0.90853177549431696</v>
      </c>
      <c r="J8" s="5"/>
      <c r="K8" s="5"/>
      <c r="L8" s="5"/>
      <c r="M8" s="5"/>
      <c r="N8" s="5"/>
      <c r="O8" s="5"/>
      <c r="P8" s="5"/>
      <c r="Q8" s="5"/>
      <c r="R8" s="5"/>
    </row>
    <row r="9" spans="1:20" x14ac:dyDescent="0.25">
      <c r="A9" s="1">
        <v>35</v>
      </c>
      <c r="B9" s="1">
        <v>6</v>
      </c>
      <c r="C9" s="65">
        <v>1.79244123660696E-3</v>
      </c>
      <c r="D9" s="3">
        <f t="shared" si="0"/>
        <v>0.99820755876339307</v>
      </c>
      <c r="E9">
        <v>2.351</v>
      </c>
      <c r="F9" s="3">
        <f t="shared" si="1"/>
        <v>0.86985619090845567</v>
      </c>
      <c r="G9" s="13">
        <f>(PRODUCT($D$4:D8)-PRODUCT($D$4:D9))*F9</f>
        <v>1.5483076099753132E-3</v>
      </c>
      <c r="H9" s="5"/>
      <c r="I9" s="5">
        <f>PRODUCT($D$4:D8)*F8</f>
        <v>0.88531646128925623</v>
      </c>
      <c r="J9" s="40" t="s">
        <v>13</v>
      </c>
      <c r="K9" s="27">
        <v>5</v>
      </c>
      <c r="L9" s="5"/>
      <c r="M9" s="5"/>
      <c r="N9" s="5"/>
      <c r="O9" s="5"/>
      <c r="P9" s="5"/>
      <c r="Q9" s="5"/>
      <c r="R9" s="5"/>
      <c r="S9" s="36"/>
    </row>
    <row r="10" spans="1:20" x14ac:dyDescent="0.25">
      <c r="A10" s="1">
        <v>36</v>
      </c>
      <c r="B10" s="1">
        <v>7</v>
      </c>
      <c r="C10" s="65">
        <v>1.9609889240404178E-3</v>
      </c>
      <c r="D10" s="3">
        <f t="shared" si="0"/>
        <v>0.9980390110759596</v>
      </c>
      <c r="E10">
        <v>2.3769999999999998</v>
      </c>
      <c r="F10" s="3">
        <f t="shared" si="1"/>
        <v>0.84836590535103229</v>
      </c>
      <c r="G10" s="13">
        <f>(PRODUCT($D$4:D9)-PRODUCT($D$4:D10))*F10</f>
        <v>1.6490888842848183E-3</v>
      </c>
      <c r="H10" s="5"/>
      <c r="I10" s="5">
        <f>PRODUCT($D$4:D9)*F9</f>
        <v>0.8622499460534151</v>
      </c>
      <c r="J10" s="40" t="s">
        <v>13</v>
      </c>
      <c r="K10" s="27">
        <v>0.2</v>
      </c>
      <c r="L10" s="5"/>
      <c r="M10" s="5"/>
      <c r="N10" s="5"/>
      <c r="O10" s="5"/>
      <c r="P10" s="5"/>
      <c r="Q10" s="5"/>
      <c r="R10" s="5"/>
    </row>
    <row r="11" spans="1:20" x14ac:dyDescent="0.25">
      <c r="A11" s="1">
        <v>37</v>
      </c>
      <c r="B11" s="1">
        <v>8</v>
      </c>
      <c r="C11" s="65">
        <v>2.1915353318650377E-3</v>
      </c>
      <c r="D11" s="3">
        <f t="shared" si="0"/>
        <v>0.997808464668135</v>
      </c>
      <c r="E11">
        <v>2.411</v>
      </c>
      <c r="F11" s="3">
        <f t="shared" si="1"/>
        <v>0.82647009771891766</v>
      </c>
      <c r="G11" s="13">
        <f>(PRODUCT($D$4:D10)-PRODUCT($D$4:D11))*F11</f>
        <v>1.791879727741425E-3</v>
      </c>
      <c r="H11" s="5"/>
      <c r="I11" s="5">
        <f>PRODUCT($D$4:D10)*F10</f>
        <v>0.83929848816120434</v>
      </c>
      <c r="J11" s="40" t="s">
        <v>13</v>
      </c>
      <c r="K11" s="27">
        <v>1</v>
      </c>
      <c r="L11" s="5"/>
      <c r="M11" s="5"/>
      <c r="N11" s="5"/>
      <c r="O11" s="5"/>
      <c r="P11" s="5"/>
      <c r="Q11" s="5"/>
      <c r="R11" s="5"/>
    </row>
    <row r="12" spans="1:20" x14ac:dyDescent="0.25">
      <c r="A12" s="1">
        <v>38</v>
      </c>
      <c r="B12" s="1">
        <v>9</v>
      </c>
      <c r="C12" s="65">
        <v>2.50621450025804E-3</v>
      </c>
      <c r="D12" s="3">
        <f t="shared" si="0"/>
        <v>0.99749378549974199</v>
      </c>
      <c r="E12">
        <v>2.4449999999999998</v>
      </c>
      <c r="F12" s="3">
        <f t="shared" si="1"/>
        <v>0.8046056889981662</v>
      </c>
      <c r="G12" s="13">
        <f>(PRODUCT($D$4:D11)-PRODUCT($D$4:D12))*F12</f>
        <v>1.9905897133830736E-3</v>
      </c>
      <c r="H12" s="5"/>
      <c r="I12" s="5">
        <f>PRODUCT($D$4:D11)*F11</f>
        <v>0.81584482531984481</v>
      </c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5">
      <c r="A13" s="1">
        <v>39</v>
      </c>
      <c r="B13" s="1">
        <v>10</v>
      </c>
      <c r="C13" s="65">
        <v>2.7492339648723255E-3</v>
      </c>
      <c r="D13" s="3">
        <f t="shared" si="0"/>
        <v>0.99725076603512763</v>
      </c>
      <c r="E13">
        <v>2.4830000000000001</v>
      </c>
      <c r="F13" s="3">
        <f t="shared" si="1"/>
        <v>0.7824952305219991</v>
      </c>
      <c r="G13" s="13">
        <f>(PRODUCT($D$4:D12)-PRODUCT($D$4:D13))*F13</f>
        <v>2.1182831743921048E-3</v>
      </c>
      <c r="H13" s="5"/>
      <c r="I13" s="5">
        <f>PRODUCT($D$4:D12)*F12</f>
        <v>0.7922709202962811</v>
      </c>
      <c r="J13" s="5"/>
      <c r="K13" s="29" t="s">
        <v>7</v>
      </c>
      <c r="L13" s="30" t="s">
        <v>8</v>
      </c>
      <c r="M13" s="5"/>
      <c r="N13" s="29" t="s">
        <v>22</v>
      </c>
      <c r="O13" s="5"/>
      <c r="P13" s="5"/>
      <c r="Q13" s="5"/>
      <c r="R13" s="5"/>
      <c r="S13" t="s">
        <v>24</v>
      </c>
    </row>
    <row r="14" spans="1:20" x14ac:dyDescent="0.25">
      <c r="A14" s="1">
        <v>40</v>
      </c>
      <c r="B14" s="1">
        <v>11</v>
      </c>
      <c r="C14" s="65">
        <v>2.9586052969170283E-3</v>
      </c>
      <c r="D14" s="3">
        <f t="shared" si="0"/>
        <v>0.99704139470308295</v>
      </c>
      <c r="E14">
        <v>2.532</v>
      </c>
      <c r="F14" s="3">
        <f t="shared" si="1"/>
        <v>0.75953236151181847</v>
      </c>
      <c r="G14" s="13">
        <f>(PRODUCT($D$4:D13)-PRODUCT($D$4:D14))*F14</f>
        <v>2.2066238531695901E-3</v>
      </c>
      <c r="H14" s="5"/>
      <c r="I14" s="5">
        <f>PRODUCT($D$4:D13)*F13</f>
        <v>0.7683811364668327</v>
      </c>
      <c r="J14" s="5"/>
      <c r="K14" s="8">
        <f>B1*(G3+K9/100+K10/100*I3)/((1-K11/100)*I3)</f>
        <v>129.62644884553808</v>
      </c>
      <c r="L14" s="8">
        <f>B1*(G3+K9/100+K10/100*L4)/(12*(1-K11/100)*L4)</f>
        <v>10.945028585187099</v>
      </c>
      <c r="M14" s="5"/>
      <c r="N14" s="5"/>
      <c r="O14" s="8">
        <f>B1*(O4+K9/100+K10/100*I3)/((1-K11/100)*I3)</f>
        <v>127.7719999945388</v>
      </c>
      <c r="P14" s="5"/>
      <c r="Q14" s="5"/>
      <c r="R14" s="5"/>
      <c r="S14" s="36">
        <f>B1*(O4+G3+K9/100+K10/100*I3)/((1-K11/100)*I3)</f>
        <v>215.8901096862283</v>
      </c>
    </row>
    <row r="15" spans="1:20" x14ac:dyDescent="0.25">
      <c r="A15" s="1">
        <v>41</v>
      </c>
      <c r="B15" s="1">
        <v>12</v>
      </c>
      <c r="C15" s="65">
        <v>3.3615550953189706E-3</v>
      </c>
      <c r="D15" s="3">
        <f t="shared" si="0"/>
        <v>0.99663844490468101</v>
      </c>
      <c r="E15" s="43">
        <v>2.54</v>
      </c>
      <c r="F15" s="3">
        <f t="shared" si="1"/>
        <v>0.74008268361599594</v>
      </c>
      <c r="G15" s="13">
        <f>(PRODUCT($D$4:D14)-PRODUCT($D$4:D15))*F15</f>
        <v>2.4357272862707926E-3</v>
      </c>
      <c r="H15" s="5"/>
      <c r="I15" s="5">
        <f>PRODUCT($D$4:D14)*F14</f>
        <v>0.74362583155037887</v>
      </c>
      <c r="J15" s="5"/>
      <c r="K15" s="5"/>
      <c r="L15" s="28" t="s">
        <v>10</v>
      </c>
      <c r="M15" s="28"/>
      <c r="N15" s="28"/>
      <c r="O15" s="5"/>
      <c r="P15" s="5"/>
      <c r="Q15" s="5"/>
      <c r="R15" s="5"/>
    </row>
    <row r="16" spans="1:20" x14ac:dyDescent="0.25">
      <c r="A16" s="1">
        <v>42</v>
      </c>
      <c r="B16" s="1">
        <v>13</v>
      </c>
      <c r="C16" s="65">
        <v>3.8236631832787478E-3</v>
      </c>
      <c r="D16" s="3">
        <f t="shared" si="0"/>
        <v>0.99617633681672124</v>
      </c>
      <c r="E16" s="43">
        <v>2.5499999999999998</v>
      </c>
      <c r="F16" s="3">
        <f t="shared" si="1"/>
        <v>0.72083581873515035</v>
      </c>
      <c r="G16" s="13">
        <f>(PRODUCT($D$4:D15)-PRODUCT($D$4:D16))*F16</f>
        <v>2.6894396854979341E-3</v>
      </c>
      <c r="H16" s="5"/>
      <c r="I16" s="5">
        <f>PRODUCT($D$4:D15)*F15</f>
        <v>0.72214775184889368</v>
      </c>
      <c r="J16" s="5"/>
      <c r="K16" s="5"/>
      <c r="L16" s="31" t="s">
        <v>9</v>
      </c>
      <c r="M16" s="5"/>
      <c r="N16" s="5"/>
      <c r="O16" s="5"/>
      <c r="P16" s="5"/>
      <c r="Q16" s="5"/>
      <c r="R16" s="5"/>
    </row>
    <row r="17" spans="1:18" x14ac:dyDescent="0.25">
      <c r="A17" s="1">
        <v>43</v>
      </c>
      <c r="B17" s="1">
        <v>14</v>
      </c>
      <c r="C17" s="65">
        <v>4.3508081972202517E-3</v>
      </c>
      <c r="D17" s="3">
        <f t="shared" si="0"/>
        <v>0.99564919180277978</v>
      </c>
      <c r="E17">
        <v>2.5609999999999999</v>
      </c>
      <c r="F17" s="3">
        <f t="shared" si="1"/>
        <v>0.70185685544270882</v>
      </c>
      <c r="G17" s="13">
        <f>(PRODUCT($D$4:D16)-PRODUCT($D$4:D17))*F17</f>
        <v>2.9682503417401427E-3</v>
      </c>
      <c r="H17" s="5"/>
      <c r="I17" s="5">
        <f>PRODUCT($D$4:D16)*F16</f>
        <v>0.7006778697729158</v>
      </c>
      <c r="J17" s="5"/>
      <c r="K17" s="5">
        <v>0.25376779119309428</v>
      </c>
      <c r="L17" s="8">
        <f>B1*(K17+K9/100+K10/100*L4)/(12*(1-K11/100)*L4)</f>
        <v>12.639411479836605</v>
      </c>
      <c r="M17" s="5"/>
      <c r="N17" s="5"/>
      <c r="O17" s="5"/>
      <c r="P17" s="5"/>
      <c r="Q17" s="5"/>
      <c r="R17" s="5"/>
    </row>
    <row r="18" spans="1:18" x14ac:dyDescent="0.25">
      <c r="A18" s="1">
        <v>44</v>
      </c>
      <c r="B18" s="1">
        <v>15</v>
      </c>
      <c r="C18" s="65">
        <v>4.7802607156820949E-3</v>
      </c>
      <c r="D18" s="3">
        <f t="shared" si="0"/>
        <v>0.99521973928431795</v>
      </c>
      <c r="E18">
        <v>2.5579999999999998</v>
      </c>
      <c r="F18" s="3">
        <f t="shared" si="1"/>
        <v>0.68463146471630254</v>
      </c>
      <c r="G18" s="13">
        <f>(PRODUCT($D$4:D17)-PRODUCT($D$4:D18))*F18</f>
        <v>3.1673556124153209E-3</v>
      </c>
      <c r="H18" s="5"/>
      <c r="I18" s="5">
        <f>PRODUCT($D$4:D17)*F17</f>
        <v>0.67926139693082799</v>
      </c>
      <c r="J18" s="5"/>
      <c r="K18" s="5"/>
      <c r="L18" s="28" t="s">
        <v>10</v>
      </c>
      <c r="M18" s="5"/>
      <c r="N18" s="5"/>
      <c r="O18" s="5"/>
      <c r="P18" s="5"/>
      <c r="Q18" s="5"/>
      <c r="R18" s="5"/>
    </row>
    <row r="19" spans="1:18" x14ac:dyDescent="0.25">
      <c r="A19" s="1">
        <v>45</v>
      </c>
      <c r="B19" s="1">
        <v>16</v>
      </c>
      <c r="C19" s="65">
        <v>5.3683226934888488E-3</v>
      </c>
      <c r="D19" s="3">
        <f t="shared" si="0"/>
        <v>0.99463167730651114</v>
      </c>
      <c r="E19">
        <v>2.5339999999999998</v>
      </c>
      <c r="F19" s="3">
        <f t="shared" si="1"/>
        <v>0.67005985251452693</v>
      </c>
      <c r="G19" s="13">
        <f>(PRODUCT($D$4:D18)-PRODUCT($D$4:D19))*F19</f>
        <v>3.4646516865450431E-3</v>
      </c>
      <c r="H19" s="5"/>
      <c r="I19" s="5">
        <f>PRODUCT($D$4:D18)*F18</f>
        <v>0.65942320184913417</v>
      </c>
      <c r="J19" s="5"/>
      <c r="K19" s="5"/>
      <c r="L19" s="31" t="s">
        <v>11</v>
      </c>
      <c r="M19" s="5"/>
      <c r="N19" s="5"/>
      <c r="O19" s="5"/>
      <c r="P19" s="5"/>
      <c r="Q19" s="5"/>
      <c r="R19" s="5"/>
    </row>
    <row r="20" spans="1:18" x14ac:dyDescent="0.25">
      <c r="A20" s="1">
        <v>46</v>
      </c>
      <c r="B20" s="1">
        <v>17</v>
      </c>
      <c r="C20" s="65">
        <v>5.8385840569370583E-3</v>
      </c>
      <c r="D20" s="3">
        <f t="shared" si="0"/>
        <v>0.99416141594306295</v>
      </c>
      <c r="E20">
        <v>2.4969999999999999</v>
      </c>
      <c r="F20" s="3">
        <f t="shared" si="1"/>
        <v>0.65752213783948488</v>
      </c>
      <c r="G20" s="13">
        <f>(PRODUCT($D$4:D19)-PRODUCT($D$4:D20))*F20</f>
        <v>3.677795457815079E-3</v>
      </c>
      <c r="H20" s="5"/>
      <c r="I20" s="5">
        <f>PRODUCT($D$4:D19)*F19</f>
        <v>0.64192346753871277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1">
        <v>47</v>
      </c>
      <c r="B21" s="1">
        <v>18</v>
      </c>
      <c r="C21" s="65">
        <v>6.3944107580785536E-3</v>
      </c>
      <c r="D21" s="3">
        <f t="shared" si="0"/>
        <v>0.99360558924192144</v>
      </c>
      <c r="E21">
        <v>2.4580000000000002</v>
      </c>
      <c r="F21" s="3">
        <f t="shared" si="1"/>
        <v>0.64591335772898839</v>
      </c>
      <c r="G21" s="13">
        <f>(PRODUCT($D$4:D20)-PRODUCT($D$4:D21))*F21</f>
        <v>3.9337010896623127E-3</v>
      </c>
      <c r="H21" s="5"/>
      <c r="I21" s="5">
        <f>PRODUCT($D$4:D20)*F20</f>
        <v>0.62623442674361707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48</v>
      </c>
      <c r="B22" s="1">
        <v>19</v>
      </c>
      <c r="C22" s="65">
        <v>6.9856464825959509E-3</v>
      </c>
      <c r="D22" s="3">
        <f t="shared" si="0"/>
        <v>0.99301435351740408</v>
      </c>
      <c r="E22">
        <v>2.4239999999999999</v>
      </c>
      <c r="F22" s="3">
        <f t="shared" si="1"/>
        <v>0.63440570943635777</v>
      </c>
      <c r="G22" s="13">
        <f>(PRODUCT($D$4:D21)-PRODUCT($D$4:D22))*F22</f>
        <v>4.1938633147650664E-3</v>
      </c>
      <c r="H22" s="5"/>
      <c r="I22" s="5">
        <f>PRODUCT($D$4:D21)*F21</f>
        <v>0.61124434087339519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49</v>
      </c>
      <c r="B23" s="1">
        <v>20</v>
      </c>
      <c r="C23" s="65">
        <v>7.9751758402779125E-3</v>
      </c>
      <c r="D23" s="3">
        <f t="shared" si="0"/>
        <v>0.99202482415972204</v>
      </c>
      <c r="E23">
        <v>2.399</v>
      </c>
      <c r="F23" s="3">
        <f t="shared" si="1"/>
        <v>0.62242308351708586</v>
      </c>
      <c r="G23" s="13">
        <f>(PRODUCT($D$4:D22)-PRODUCT($D$4:D23))*F23</f>
        <v>4.6646822901194084E-3</v>
      </c>
      <c r="H23" s="5"/>
      <c r="I23" s="5">
        <f>PRODUCT($D$4:D22)*F22</f>
        <v>0.59616049547130634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50</v>
      </c>
      <c r="B24" s="1">
        <v>21</v>
      </c>
      <c r="C24" s="65">
        <v>8.9823729596385515E-3</v>
      </c>
      <c r="D24" s="3">
        <f t="shared" si="0"/>
        <v>0.99101762704036145</v>
      </c>
      <c r="E24">
        <v>2.3839999999999999</v>
      </c>
      <c r="F24" s="3">
        <f t="shared" si="1"/>
        <v>0.6097138363711978</v>
      </c>
      <c r="G24" s="13">
        <f>(PRODUCT($D$4:D23)-PRODUCT($D$4:D24))*F24</f>
        <v>5.1054706692219625E-3</v>
      </c>
      <c r="H24" s="5"/>
      <c r="I24" s="5">
        <f>PRODUCT($D$4:D23)*F23</f>
        <v>0.58023556110775087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51</v>
      </c>
      <c r="B25" s="1">
        <v>22</v>
      </c>
      <c r="C25" s="65">
        <v>9.8472600277920534E-3</v>
      </c>
      <c r="D25" s="3">
        <f t="shared" si="0"/>
        <v>0.99015273997220798</v>
      </c>
      <c r="E25">
        <v>2.379</v>
      </c>
      <c r="F25" s="3">
        <f t="shared" si="1"/>
        <v>0.59615689248155235</v>
      </c>
      <c r="G25" s="13">
        <f>(PRODUCT($D$4:D24)-PRODUCT($D$4:D25))*F25</f>
        <v>5.4234545633844774E-3</v>
      </c>
      <c r="H25" s="5"/>
      <c r="I25" s="5">
        <f>PRODUCT($D$4:D24)*F24</f>
        <v>0.56328226964871875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52</v>
      </c>
      <c r="B26" s="1">
        <v>23</v>
      </c>
      <c r="C26" s="65">
        <v>1.062509620253387E-2</v>
      </c>
      <c r="D26" s="3">
        <f t="shared" si="0"/>
        <v>0.98937490379746618</v>
      </c>
      <c r="E26" s="43">
        <v>2.38</v>
      </c>
      <c r="F26" s="3">
        <f t="shared" si="1"/>
        <v>0.58217308069554108</v>
      </c>
      <c r="G26" s="13">
        <f>(PRODUCT($D$4:D25)-PRODUCT($D$4:D26))*F26</f>
        <v>5.6583162259426015E-3</v>
      </c>
      <c r="H26" s="5"/>
      <c r="I26" s="5">
        <f>PRODUCT($D$4:D25)*F25</f>
        <v>0.54533427378722488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53</v>
      </c>
      <c r="B27" s="1">
        <v>24</v>
      </c>
      <c r="C27" s="65">
        <v>1.1532022872793221E-2</v>
      </c>
      <c r="D27" s="3">
        <f t="shared" si="0"/>
        <v>0.9884679771272068</v>
      </c>
      <c r="E27">
        <v>2.387</v>
      </c>
      <c r="F27" s="3">
        <f t="shared" si="1"/>
        <v>0.56770715216320067</v>
      </c>
      <c r="G27" s="13">
        <f>(PRODUCT($D$4:D26)-PRODUCT($D$4:D27))*F27</f>
        <v>5.9250630328304211E-3</v>
      </c>
      <c r="H27" s="5"/>
      <c r="I27" s="5">
        <f>PRODUCT($D$4:D26)*F26</f>
        <v>0.52688427144429639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54</v>
      </c>
      <c r="B28" s="1">
        <v>25</v>
      </c>
      <c r="C28" s="65">
        <v>1.282132401342323E-2</v>
      </c>
      <c r="D28" s="3">
        <f t="shared" si="0"/>
        <v>0.98717867598657683</v>
      </c>
      <c r="E28">
        <v>2.3969999999999998</v>
      </c>
      <c r="F28" s="3">
        <f t="shared" si="1"/>
        <v>0.55311976214736913</v>
      </c>
      <c r="G28" s="13">
        <f>(PRODUCT($D$4:D27)-PRODUCT($D$4:D28))*F28</f>
        <v>6.3442132030762212E-3</v>
      </c>
      <c r="H28" s="5"/>
      <c r="I28" s="5">
        <f>PRODUCT($D$4:D27)*F27</f>
        <v>0.50786710493182496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55</v>
      </c>
      <c r="B29" s="1">
        <v>26</v>
      </c>
      <c r="C29" s="65">
        <v>1.3993820694014239E-2</v>
      </c>
      <c r="D29" s="3">
        <f t="shared" si="0"/>
        <v>0.98600617930598577</v>
      </c>
      <c r="E29" s="43">
        <v>2.41</v>
      </c>
      <c r="F29" s="3">
        <f t="shared" si="1"/>
        <v>0.5383918541078454</v>
      </c>
      <c r="G29" s="13">
        <f>(PRODUCT($D$4:D28)-PRODUCT($D$4:D29))*F29</f>
        <v>6.6535935777080309E-3</v>
      </c>
      <c r="H29" s="5"/>
      <c r="I29" s="5">
        <f>PRODUCT($D$4:D28)*F28</f>
        <v>0.48847310803724076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56</v>
      </c>
      <c r="B30" s="1">
        <v>27</v>
      </c>
      <c r="C30" s="65">
        <v>1.5789362132141549E-2</v>
      </c>
      <c r="D30" s="3">
        <f t="shared" si="0"/>
        <v>0.98421063786785845</v>
      </c>
      <c r="E30">
        <v>2.4260000000000002</v>
      </c>
      <c r="F30" s="3">
        <f t="shared" si="1"/>
        <v>0.52350912543308847</v>
      </c>
      <c r="G30" s="13">
        <f>(PRODUCT($D$4:D29)-PRODUCT($D$4:D30))*F30</f>
        <v>7.1976373737821743E-3</v>
      </c>
      <c r="H30" s="5"/>
      <c r="I30" s="5">
        <f>PRODUCT($D$4:D29)*F29</f>
        <v>0.46881295149200658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57</v>
      </c>
      <c r="B31" s="1">
        <v>28</v>
      </c>
      <c r="C31" s="65">
        <v>1.7491725665991654E-2</v>
      </c>
      <c r="D31" s="3">
        <f t="shared" si="0"/>
        <v>0.98250827433400834</v>
      </c>
      <c r="E31">
        <v>2.4430000000000001</v>
      </c>
      <c r="F31" s="3">
        <f t="shared" si="1"/>
        <v>0.50874005527143717</v>
      </c>
      <c r="G31" s="13">
        <f>(PRODUCT($D$4:D30)-PRODUCT($D$4:D31))*F31</f>
        <v>7.6263681404423224E-3</v>
      </c>
      <c r="H31" s="5"/>
      <c r="I31" s="5">
        <f>PRODUCT($D$4:D30)*F30</f>
        <v>0.44865595022177529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58</v>
      </c>
      <c r="B32" s="1">
        <v>29</v>
      </c>
      <c r="C32" s="65">
        <v>1.921968630142732E-2</v>
      </c>
      <c r="D32" s="3">
        <f t="shared" si="0"/>
        <v>0.98078031369857266</v>
      </c>
      <c r="E32">
        <v>2.4609999999999999</v>
      </c>
      <c r="F32" s="3">
        <f t="shared" si="1"/>
        <v>0.49408410706604067</v>
      </c>
      <c r="G32" s="13">
        <f>(PRODUCT($D$4:D31)-PRODUCT($D$4:D32))*F32</f>
        <v>7.9959960587356483E-3</v>
      </c>
      <c r="H32" s="5"/>
      <c r="I32" s="5">
        <f>PRODUCT($D$4:D31)*F31</f>
        <v>0.42837224549376923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59</v>
      </c>
      <c r="B33" s="1">
        <v>30</v>
      </c>
      <c r="C33" s="65">
        <v>2.0487828410334794E-2</v>
      </c>
      <c r="D33" s="3">
        <f t="shared" si="0"/>
        <v>0.97951217158966519</v>
      </c>
      <c r="E33">
        <v>2.4790000000000001</v>
      </c>
      <c r="F33" s="3">
        <f t="shared" si="1"/>
        <v>0.47968223412986721</v>
      </c>
      <c r="G33" s="13">
        <f>(PRODUCT($D$4:D32)-PRODUCT($D$4:D33))*F33</f>
        <v>8.1160870073199928E-3</v>
      </c>
      <c r="H33" s="5"/>
      <c r="I33" s="5">
        <f>PRODUCT($D$4:D32)*F32</f>
        <v>0.40803556311098083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60</v>
      </c>
      <c r="B34" s="1">
        <v>31</v>
      </c>
      <c r="C34" s="65">
        <v>2.1782008215735317E-2</v>
      </c>
      <c r="D34" s="3">
        <f t="shared" si="0"/>
        <v>0.97821799178426472</v>
      </c>
      <c r="E34">
        <v>2.4990000000000001</v>
      </c>
      <c r="F34" s="3">
        <f t="shared" si="1"/>
        <v>0.46525550564194662</v>
      </c>
      <c r="G34" s="13">
        <f>(PRODUCT($D$4:D33)-PRODUCT($D$4:D34))*F34</f>
        <v>8.1977828032855117E-3</v>
      </c>
      <c r="H34" s="5"/>
      <c r="I34" s="5">
        <f>PRODUCT($D$4:D33)*F33</f>
        <v>0.38802580000818815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61</v>
      </c>
      <c r="B35" s="1">
        <v>32</v>
      </c>
      <c r="C35" s="65">
        <v>2.3345392397782359E-2</v>
      </c>
      <c r="D35" s="22">
        <f t="shared" si="0"/>
        <v>0.97665460760221767</v>
      </c>
      <c r="E35">
        <v>2.5179999999999998</v>
      </c>
      <c r="F35" s="3">
        <f t="shared" si="1"/>
        <v>0.45122795589785897</v>
      </c>
      <c r="G35" s="13">
        <f>(PRODUCT($D$4:D34)-PRODUCT($D$4:D35))*F35</f>
        <v>8.335656161458144E-3</v>
      </c>
      <c r="H35" s="5"/>
      <c r="I35" s="5">
        <f>PRODUCT($D$4:D34)*F34</f>
        <v>0.36815791048689828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62</v>
      </c>
      <c r="B36" s="1">
        <v>33</v>
      </c>
      <c r="C36" s="65">
        <v>2.5277617903692692E-2</v>
      </c>
      <c r="D36" s="22">
        <f t="shared" si="0"/>
        <v>0.97472238209630735</v>
      </c>
      <c r="E36">
        <v>2.5369999999999999</v>
      </c>
      <c r="F36" s="3">
        <f t="shared" si="1"/>
        <v>0.43746163821212275</v>
      </c>
      <c r="G36" s="13">
        <f>(PRODUCT($D$4:D35)-PRODUCT($D$4:D36))*F36</f>
        <v>8.5459380131943687E-3</v>
      </c>
      <c r="H36" s="5"/>
      <c r="I36" s="5">
        <f>PRODUCT($D$4:D35)*F35</f>
        <v>0.34872221716218571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63</v>
      </c>
      <c r="B37" s="1">
        <v>34</v>
      </c>
      <c r="C37" s="65">
        <v>2.8097097063730259E-2</v>
      </c>
      <c r="D37" s="22">
        <f t="shared" si="0"/>
        <v>0.9719029029362698</v>
      </c>
      <c r="E37">
        <v>2.556</v>
      </c>
      <c r="F37" s="3">
        <f t="shared" si="1"/>
        <v>0.42395864437303077</v>
      </c>
      <c r="G37" s="13">
        <f>(PRODUCT($D$4:D36)-PRODUCT($D$4:D37))*F37</f>
        <v>8.9732445516414929E-3</v>
      </c>
      <c r="H37" s="5"/>
      <c r="I37" s="5">
        <f>PRODUCT($D$4:D36)*F36</f>
        <v>0.32953726451618426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64</v>
      </c>
      <c r="B38" s="1">
        <v>35</v>
      </c>
      <c r="C38" s="65">
        <v>3.1015541214860165E-2</v>
      </c>
      <c r="D38" s="22">
        <f t="shared" si="0"/>
        <v>0.96898445878513983</v>
      </c>
      <c r="E38">
        <v>2.5750000000000002</v>
      </c>
      <c r="F38" s="3">
        <f t="shared" si="1"/>
        <v>0.41072071052722531</v>
      </c>
      <c r="G38" s="13">
        <f>(PRODUCT($D$4:D37)-PRODUCT($D$4:D38))*F38</f>
        <v>9.3263863681784243E-3</v>
      </c>
      <c r="H38" s="5"/>
      <c r="I38" s="5">
        <f>PRODUCT($D$4:D37)*F37</f>
        <v>0.31039229457463419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65</v>
      </c>
      <c r="B39" s="1">
        <v>36</v>
      </c>
      <c r="C39" s="65">
        <v>3.3576208414515571E-2</v>
      </c>
      <c r="D39" s="22">
        <f t="shared" si="0"/>
        <v>0.96642379158548442</v>
      </c>
      <c r="E39">
        <v>2.5939999999999999</v>
      </c>
      <c r="F39" s="3">
        <f t="shared" si="1"/>
        <v>0.39774922579355743</v>
      </c>
      <c r="G39" s="13">
        <f>(PRODUCT($D$4:D38)-PRODUCT($D$4:D39))*F39</f>
        <v>9.4742587868208231E-3</v>
      </c>
      <c r="H39" s="5"/>
      <c r="I39" s="5">
        <f>PRODUCT($D$4:D38)*F38</f>
        <v>0.29137403680257562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66</v>
      </c>
      <c r="B40" s="1">
        <v>37</v>
      </c>
      <c r="C40" s="65">
        <v>3.6439182521974742E-2</v>
      </c>
      <c r="D40" s="22">
        <f t="shared" si="0"/>
        <v>0.96356081747802524</v>
      </c>
      <c r="E40">
        <v>2.6120000000000001</v>
      </c>
      <c r="F40" s="3">
        <f t="shared" si="1"/>
        <v>0.38518410583198032</v>
      </c>
      <c r="G40" s="13">
        <f>(PRODUCT($D$4:D39)-PRODUCT($D$4:D40))*F40</f>
        <v>9.622963639095785E-3</v>
      </c>
      <c r="H40" s="5"/>
      <c r="I40" s="5">
        <f>PRODUCT($D$4:D39)*F39</f>
        <v>0.27269752993500879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67</v>
      </c>
      <c r="B41" s="1">
        <v>38</v>
      </c>
      <c r="C41" s="65">
        <v>3.9394860506877766E-2</v>
      </c>
      <c r="D41" s="22">
        <f t="shared" si="0"/>
        <v>0.96060513949312221</v>
      </c>
      <c r="E41" s="43">
        <v>2.63</v>
      </c>
      <c r="F41" s="3">
        <f t="shared" si="1"/>
        <v>0.37288550504536244</v>
      </c>
      <c r="G41" s="13">
        <f>(PRODUCT($D$4:D40)-PRODUCT($D$4:D41))*F41</f>
        <v>9.7043412788148497E-3</v>
      </c>
      <c r="H41" s="5"/>
      <c r="I41" s="5">
        <f>PRODUCT($D$4:D40)*F40</f>
        <v>0.25445989917739648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68</v>
      </c>
      <c r="B42" s="1">
        <v>39</v>
      </c>
      <c r="C42" s="65">
        <v>4.2877879406435053E-2</v>
      </c>
      <c r="D42" s="22">
        <f t="shared" si="0"/>
        <v>0.95712212059356494</v>
      </c>
      <c r="E42">
        <v>2.6469999999999998</v>
      </c>
      <c r="F42" s="3">
        <f t="shared" si="1"/>
        <v>0.36099053872165482</v>
      </c>
      <c r="G42" s="13">
        <f>(PRODUCT($D$4:D41)-PRODUCT($D$4:D42))*F42</f>
        <v>9.8225673776271699E-3</v>
      </c>
      <c r="H42" s="5"/>
      <c r="I42" s="5">
        <f>PRODUCT($D$4:D41)*F41</f>
        <v>0.23663086981098194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69</v>
      </c>
      <c r="B43" s="1">
        <v>40</v>
      </c>
      <c r="C43" s="65">
        <v>4.5988822084573416E-2</v>
      </c>
      <c r="D43" s="22">
        <f t="shared" si="0"/>
        <v>0.95401117791542656</v>
      </c>
      <c r="E43">
        <v>2.6640000000000001</v>
      </c>
      <c r="F43" s="3">
        <f t="shared" si="1"/>
        <v>0.34935965470745112</v>
      </c>
      <c r="G43" s="13">
        <f>(PRODUCT($D$4:D42)-PRODUCT($D$4:D43))*F43</f>
        <v>9.7586173239285288E-3</v>
      </c>
      <c r="H43" s="5"/>
      <c r="I43" s="5">
        <f>PRODUCT($D$4:D42)*F42</f>
        <v>0.21925982927077139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/>
      <c r="B44" s="1"/>
      <c r="C44" s="65">
        <v>5.0893397860034509E-2</v>
      </c>
      <c r="D44" s="22"/>
      <c r="E44" s="22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21"/>
      <c r="B45" s="21"/>
      <c r="C45" s="20"/>
      <c r="D45" s="22"/>
      <c r="E45" s="22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1"/>
      <c r="B82" s="1"/>
      <c r="C82" s="2"/>
      <c r="D82" s="3"/>
      <c r="E82" s="3"/>
      <c r="F82" s="3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topLeftCell="A70" zoomScale="180" zoomScaleNormal="180" workbookViewId="0">
      <selection activeCell="E5" sqref="E5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25">
      <c r="D2" s="37"/>
      <c r="F2">
        <f>'základné pravdepodobnosti 2021'!E2</f>
        <v>2.3501919999999998</v>
      </c>
      <c r="G2">
        <f>'základné pravdepodobnosti 2021'!F2</f>
        <v>-2.9701919999999999</v>
      </c>
      <c r="H2">
        <f>'základné pravdepodobnosti 2021'!G2</f>
        <v>4.3011549999999996</v>
      </c>
      <c r="I2">
        <f>'základné pravdepodobnosti 2021'!H2</f>
        <v>4.0061770000000001</v>
      </c>
      <c r="J2">
        <f>'základné pravdepodobnosti 2021'!I2</f>
        <v>6.9220969999999999</v>
      </c>
      <c r="K2">
        <f>'základné pravdepodobnosti 2021'!J2</f>
        <v>0.85175900000000004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0.13496880615924814</v>
      </c>
      <c r="H4" s="6"/>
      <c r="I4" s="5">
        <f>SUM(I5:I44)</f>
        <v>23.864134373551178</v>
      </c>
      <c r="J4" s="5"/>
      <c r="K4" s="5"/>
      <c r="L4" s="5"/>
      <c r="M4" s="7"/>
      <c r="N4" s="42">
        <f>PRODUCT(D5:D44)*F44</f>
        <v>0.24441043361863518</v>
      </c>
      <c r="O4" s="7">
        <f>N4/(12*L5)</f>
        <v>8.6604685210323648E-4</v>
      </c>
      <c r="P4" s="8">
        <f>B1*N4</f>
        <v>2444.1043361863517</v>
      </c>
      <c r="Q4" s="8">
        <f>P4/I4</f>
        <v>102.41747292938365</v>
      </c>
      <c r="R4" s="8">
        <f>P4/(12*L5)</f>
        <v>8.6604685210323638</v>
      </c>
      <c r="S4" s="36">
        <f>B1*(N4+K10/100+K11/100*L5)/(12*(1-K12/100)*L5)</f>
        <v>12.221051681383249</v>
      </c>
    </row>
    <row r="5" spans="1:19" ht="21" customHeight="1" x14ac:dyDescent="0.25">
      <c r="A5" s="1">
        <v>30</v>
      </c>
      <c r="B5" s="1">
        <v>1</v>
      </c>
      <c r="C5" s="2">
        <f>'základné pravdepodobnosti 2021'!C35</f>
        <v>8.279802028143497E-4</v>
      </c>
      <c r="D5" s="3">
        <f>1-C5</f>
        <v>0.99917201979718562</v>
      </c>
      <c r="E5" s="34">
        <f>$F$2+$G$2*(1-EXP(-B5/$J$2))/(B5/$J$2)+$H$2*((1-EXP(-B5/$J$2))/(B5/$J$2)-EXP(-B5/$J$2))+$I$2*((1-EXP(-B5/$K$2))/(B5/$K$2)-EXP(-B5/$K$2))</f>
        <v>0.9860305346828504</v>
      </c>
      <c r="F5" s="3">
        <f>EXP(-(E5/100)*B5)</f>
        <v>0.99018814807797728</v>
      </c>
      <c r="G5" s="51">
        <f>C5*F5</f>
        <v>8.1985618366996898E-4</v>
      </c>
      <c r="H5" s="11">
        <f>B1*G4</f>
        <v>1349.6880615924813</v>
      </c>
      <c r="I5" s="5">
        <f>1</f>
        <v>1</v>
      </c>
      <c r="J5" s="24">
        <f>B1*G4/I4</f>
        <v>56.557176575755122</v>
      </c>
      <c r="K5" s="26">
        <f>PRODUCT(D5:D44)*F44</f>
        <v>0.24441043361863518</v>
      </c>
      <c r="L5" s="25">
        <f>I4-11/24*(1-K5)</f>
        <v>23.51782248895972</v>
      </c>
      <c r="M5" s="8">
        <f>B1*G4/(12*L5)</f>
        <v>4.7825008112680045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2">
        <f>'základné pravdepodobnosti 2021'!C36</f>
        <v>9.3958852840120614E-4</v>
      </c>
      <c r="D6" s="3">
        <f t="shared" ref="D6:D44" si="0">1-C6</f>
        <v>0.99906041147159874</v>
      </c>
      <c r="E6" s="34">
        <f>$F$2+$G$2*(1-EXP(-B6/$J$2))/(B6/$J$2)+$H$2*((1-EXP(-B6/$J$2))/(B6/$J$2)-EXP(-B6/$J$2))+$I$2*((1-EXP(-B6/$K$2))/(B6/$K$2)-EXP(-B6/$K$2))</f>
        <v>1.4446111684116043</v>
      </c>
      <c r="F6" s="3">
        <f t="shared" ref="F6:F69" si="1">EXP(-(E6/100)*B6)</f>
        <v>0.97152116610328243</v>
      </c>
      <c r="G6" s="12">
        <f>(D5-PRODUCT(D5:D6))*F6</f>
        <v>9.1207433748291533E-4</v>
      </c>
      <c r="H6" s="5"/>
      <c r="I6" s="13">
        <f>D5*F5</f>
        <v>0.98936829189430731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2">
        <f>'základné pravdepodobnosti 2021'!C37</f>
        <v>1.0319366344008537E-3</v>
      </c>
      <c r="D7" s="3">
        <f t="shared" si="0"/>
        <v>0.99896806336559918</v>
      </c>
      <c r="E7" s="34">
        <f t="shared" ref="E7:E70" si="2">$F$2+$G$2*(1-EXP(-B7/$J$2))/(B7/$J$2)+$H$2*((1-EXP(-B7/$J$2))/(B7/$J$2)-EXP(-B7/$J$2))+$I$2*((1-EXP(-B7/$K$2))/(B7/$K$2)-EXP(-B7/$K$2))</f>
        <v>1.6273040610071074</v>
      </c>
      <c r="F7" s="3">
        <f t="shared" si="1"/>
        <v>0.95235337405570264</v>
      </c>
      <c r="G7" s="13">
        <f>(PRODUCT($D$5:D6)-PRODUCT($D$5:D7))*F7</f>
        <v>9.8103198955844977E-4</v>
      </c>
      <c r="H7" s="5"/>
      <c r="I7" s="35">
        <f>PRODUCT($D$5:D6)*F6</f>
        <v>0.96980469147365089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2">
        <f>'základné pravdepodobnosti 2021'!C38</f>
        <v>1.0464696879975339E-3</v>
      </c>
      <c r="D8" s="3">
        <f t="shared" si="0"/>
        <v>0.99895353031200251</v>
      </c>
      <c r="E8" s="34">
        <f t="shared" si="2"/>
        <v>1.7564373466652632</v>
      </c>
      <c r="F8" s="3">
        <f t="shared" si="1"/>
        <v>0.9321537651237003</v>
      </c>
      <c r="G8" s="13">
        <f>(PRODUCT($D$5:D7)-PRODUCT($D$5:D8))*F8</f>
        <v>9.7274236178039261E-4</v>
      </c>
      <c r="H8" s="5"/>
      <c r="I8" s="5">
        <f>PRODUCT($D$5:D7)*F7</f>
        <v>0.94968973291459347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2">
        <f>'základné pravdepodobnosti 2021'!C39</f>
        <v>1.0284638099251429E-3</v>
      </c>
      <c r="D9" s="3">
        <f t="shared" si="0"/>
        <v>0.99897153619007484</v>
      </c>
      <c r="E9" s="34">
        <f t="shared" si="2"/>
        <v>1.8784810043238007</v>
      </c>
      <c r="F9" s="3">
        <f t="shared" si="1"/>
        <v>0.91035190064525529</v>
      </c>
      <c r="G9" s="13">
        <f>(PRODUCT($D$5:D8)-PRODUCT($D$5:D9))*F9</f>
        <v>9.326683119000095E-4</v>
      </c>
      <c r="H9" s="5"/>
      <c r="I9" s="5">
        <f>PRODUCT($D$5:D8)*F8</f>
        <v>0.92857387799164459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2">
        <f>'základné pravdepodobnosti 2021'!C40</f>
        <v>1.0709044775518422E-3</v>
      </c>
      <c r="D10" s="3">
        <f t="shared" si="0"/>
        <v>0.99892909552244813</v>
      </c>
      <c r="E10" s="34">
        <f t="shared" si="2"/>
        <v>1.9972831483659572</v>
      </c>
      <c r="F10" s="3">
        <f t="shared" si="1"/>
        <v>0.88706502637596252</v>
      </c>
      <c r="G10" s="13">
        <f>(PRODUCT($D$5:D9)-PRODUCT($D$5:D10))*F10</f>
        <v>9.4534038094074913E-4</v>
      </c>
      <c r="H10" s="5"/>
      <c r="I10" s="5">
        <f>PRODUCT($D$5:D9)*F9</f>
        <v>0.90592307410635942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2">
        <f>'základné pravdepodobnosti 2021'!C41</f>
        <v>1.2274063642613777E-3</v>
      </c>
      <c r="D11" s="3">
        <f t="shared" si="0"/>
        <v>0.99877259363573867</v>
      </c>
      <c r="E11" s="34">
        <f t="shared" si="2"/>
        <v>2.1092370667478044</v>
      </c>
      <c r="F11" s="3">
        <f t="shared" si="1"/>
        <v>0.8627359565559527</v>
      </c>
      <c r="G11" s="13">
        <f>(PRODUCT($D$5:D10)-PRODUCT($D$5:D11))*F11</f>
        <v>1.052647468810075E-3</v>
      </c>
      <c r="H11" s="5"/>
      <c r="I11" s="5">
        <f>PRODUCT($D$5:D10)*F10</f>
        <v>0.88180414919243411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2">
        <f>'základné pravdepodobnosti 2021'!C42</f>
        <v>1.4161826546013117E-3</v>
      </c>
      <c r="D12" s="3">
        <f t="shared" si="0"/>
        <v>0.99858381734539869</v>
      </c>
      <c r="E12" s="34">
        <f t="shared" si="2"/>
        <v>2.2112849186643211</v>
      </c>
      <c r="F12" s="3">
        <f t="shared" si="1"/>
        <v>0.83786122612762337</v>
      </c>
      <c r="G12" s="13">
        <f>(PRODUCT($D$5:D11)-PRODUCT($D$5:D12))*F12</f>
        <v>1.1780796703009786E-3</v>
      </c>
      <c r="H12" s="5"/>
      <c r="I12" s="5">
        <f>PRODUCT($D$5:D11)*F11</f>
        <v>0.85656671923825922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2">
        <f>'základné pravdepodobnosti 2021'!C43</f>
        <v>1.5622393001174472E-3</v>
      </c>
      <c r="D13" s="3">
        <f t="shared" si="0"/>
        <v>0.99843776069988255</v>
      </c>
      <c r="E13" s="34">
        <f t="shared" si="2"/>
        <v>2.3019781018645897</v>
      </c>
      <c r="F13" s="3">
        <f t="shared" si="1"/>
        <v>0.81287492165918218</v>
      </c>
      <c r="G13" s="13">
        <f>(PRODUCT($D$5:D12)-PRODUCT($D$5:D13))*F13</f>
        <v>1.2590387754287224E-3</v>
      </c>
      <c r="H13" s="5"/>
      <c r="I13" s="5">
        <f>PRODUCT($D$5:D12)*F12</f>
        <v>0.83069178293063051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2">
        <f>'základné pravdepodobnosti 2021'!C44</f>
        <v>1.7069170953454866E-3</v>
      </c>
      <c r="D14" s="3">
        <f t="shared" si="0"/>
        <v>0.99829308290465446</v>
      </c>
      <c r="E14" s="34">
        <f t="shared" si="2"/>
        <v>2.3810857206022402</v>
      </c>
      <c r="F14" s="3">
        <f t="shared" si="1"/>
        <v>0.78811711894918035</v>
      </c>
      <c r="G14" s="13">
        <f>(PRODUCT($D$5:D13)-PRODUCT($D$5:D14))*F14</f>
        <v>1.3316558712349465E-3</v>
      </c>
      <c r="H14" s="5"/>
      <c r="I14" s="5">
        <f>PRODUCT($D$5:D13)*F13</f>
        <v>0.80466024345879716</v>
      </c>
      <c r="J14" s="5"/>
      <c r="K14" s="29" t="s">
        <v>7</v>
      </c>
      <c r="L14" s="30" t="s">
        <v>8</v>
      </c>
      <c r="M14" s="5"/>
      <c r="N14" s="29" t="s">
        <v>22</v>
      </c>
      <c r="O14" s="5"/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2">
        <f>'základné pravdepodobnosti 2021'!C45</f>
        <v>1.79244123660696E-3</v>
      </c>
      <c r="D15" s="3">
        <f t="shared" si="0"/>
        <v>0.99820755876339307</v>
      </c>
      <c r="E15" s="34">
        <f t="shared" si="2"/>
        <v>2.4490979668038828</v>
      </c>
      <c r="F15" s="3">
        <f t="shared" si="1"/>
        <v>0.7638370664653148</v>
      </c>
      <c r="G15" s="13">
        <f>(PRODUCT($D$5:D14)-PRODUCT($D$5:D15))*F15</f>
        <v>1.3529836147977961E-3</v>
      </c>
      <c r="H15" s="5"/>
      <c r="I15" s="5">
        <f>PRODUCT($D$5:D14)*F14</f>
        <v>0.77882098005124856</v>
      </c>
      <c r="J15" s="5"/>
      <c r="K15" s="8">
        <f>B1*(G4+K10/100+K11/100*I4)/((1-K12/100)*I4)</f>
        <v>98.494060891209301</v>
      </c>
      <c r="L15" s="8">
        <f>B1*(G4+K10/100+K11/100*L5)/(12*(1-K12/100)*L5)</f>
        <v>8.3039125806111684</v>
      </c>
      <c r="M15" s="5"/>
      <c r="N15" s="24">
        <f>B1*(N4+K10/100+K11/100*I3)/((1-K12/100)*I4)</f>
        <v>124.61557235952094</v>
      </c>
      <c r="O15" s="5"/>
      <c r="P15" s="5"/>
      <c r="Q15" s="5"/>
      <c r="R15" s="8">
        <f>B1*(G4+N4+K10/100+K11/100*I3)/((1-K12/100)*I4)</f>
        <v>181.74403354715238</v>
      </c>
    </row>
    <row r="16" spans="1:19" x14ac:dyDescent="0.25">
      <c r="A16" s="1">
        <v>41</v>
      </c>
      <c r="B16" s="1">
        <v>12</v>
      </c>
      <c r="C16" s="2">
        <f>'základné pravdepodobnosti 2021'!C46</f>
        <v>1.9609889240404178E-3</v>
      </c>
      <c r="D16" s="3">
        <f t="shared" si="0"/>
        <v>0.9980390110759596</v>
      </c>
      <c r="E16" s="34">
        <f>$F$2+$G$2*(1-EXP(-B16/$J$2))/(B16/$J$2)+$H$2*((1-EXP(-B16/$J$2))/(B16/$J$2)-EXP(-B16/$J$2))+$I$2*((1-EXP(-B16/$K$2))/(B16/$K$2)-EXP(-B16/$K$2))</f>
        <v>2.5068730030311168</v>
      </c>
      <c r="F16" s="3">
        <f t="shared" si="1"/>
        <v>0.74020747507057438</v>
      </c>
      <c r="G16" s="13">
        <f>(PRODUCT($D$5:D15)-PRODUCT($D$5:D16))*F16</f>
        <v>1.431846105152301E-3</v>
      </c>
      <c r="H16" s="5"/>
      <c r="I16" s="5">
        <f>PRODUCT($D$5:D15)*F15</f>
        <v>0.7534743363362959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2">
        <f>'základné pravdepodobnosti 2021'!C47</f>
        <v>2.1915353318650377E-3</v>
      </c>
      <c r="D17" s="3">
        <f t="shared" si="0"/>
        <v>0.997808464668135</v>
      </c>
      <c r="E17" s="34">
        <f t="shared" si="2"/>
        <v>2.5554211283640349</v>
      </c>
      <c r="F17" s="3">
        <f t="shared" si="1"/>
        <v>0.71734043473983211</v>
      </c>
      <c r="G17" s="13">
        <f>(PRODUCT($D$5:D16)-PRODUCT($D$5:D17))*F17</f>
        <v>1.5477080476733848E-3</v>
      </c>
      <c r="H17" s="5"/>
      <c r="I17" s="5">
        <f>PRODUCT($D$5:D16)*F16</f>
        <v>0.7287334738509359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2">
        <f>'základné pravdepodobnosti 2021'!C48</f>
        <v>2.50621450025804E-3</v>
      </c>
      <c r="D18" s="3">
        <f t="shared" si="0"/>
        <v>0.99749378549974199</v>
      </c>
      <c r="E18" s="34">
        <f t="shared" si="2"/>
        <v>2.5957817548369411</v>
      </c>
      <c r="F18" s="3">
        <f t="shared" si="1"/>
        <v>0.69530168693890171</v>
      </c>
      <c r="G18" s="13">
        <f>(PRODUCT($D$5:D17)-PRODUCT($D$5:D18))*F18</f>
        <v>1.7118036880466889E-3</v>
      </c>
      <c r="H18" s="5"/>
      <c r="I18" s="5">
        <f>PRODUCT($D$5:D17)*F17</f>
        <v>0.70467318885945029</v>
      </c>
      <c r="J18" s="5"/>
      <c r="K18" s="5">
        <v>0.12972699996980511</v>
      </c>
      <c r="L18" s="8">
        <f>B1*(K18+K10/100+K11/100*L5)/(12*(1-K12/100)*L5)</f>
        <v>8.1162976441377879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2">
        <f>'základné pravdepodobnosti 2021'!C49</f>
        <v>2.7492339648723255E-3</v>
      </c>
      <c r="D19" s="3">
        <f t="shared" si="0"/>
        <v>0.99725076603512763</v>
      </c>
      <c r="E19" s="34">
        <f t="shared" si="2"/>
        <v>2.628956940481757</v>
      </c>
      <c r="F19" s="3">
        <f t="shared" si="1"/>
        <v>0.67412242771411235</v>
      </c>
      <c r="G19" s="13">
        <f>(PRODUCT($D$5:D18)-PRODUCT($D$5:D19))*F19</f>
        <v>1.8160303895965314E-3</v>
      </c>
      <c r="H19" s="5"/>
      <c r="I19" s="5">
        <f>PRODUCT($D$5:D18)*F18</f>
        <v>0.68131181135784413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2">
        <f>'základné pravdepodobnosti 2021'!C50</f>
        <v>2.9586052969170283E-3</v>
      </c>
      <c r="D20" s="3">
        <f t="shared" si="0"/>
        <v>0.99704139470308295</v>
      </c>
      <c r="E20" s="34">
        <f t="shared" si="2"/>
        <v>2.6558780144468774</v>
      </c>
      <c r="F20" s="3">
        <f t="shared" si="1"/>
        <v>0.65380869715423451</v>
      </c>
      <c r="G20" s="13">
        <f>(PRODUCT($D$5:D19)-PRODUCT($D$5:D20))*F20</f>
        <v>1.8902303733110803E-3</v>
      </c>
      <c r="H20" s="5"/>
      <c r="I20" s="5">
        <f>PRODUCT($D$5:D19)*F19</f>
        <v>0.65874266079506649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2">
        <f>'základné pravdepodobnosti 2021'!C51</f>
        <v>3.3615550953189706E-3</v>
      </c>
      <c r="D21" s="3">
        <f t="shared" si="0"/>
        <v>0.99663844490468101</v>
      </c>
      <c r="E21" s="34">
        <f>$F$2+$G$2*(1-EXP(-B21/$J$2))/(B21/$J$2)+$H$2*((1-EXP(-B21/$J$2))/(B21/$J$2)-EXP(-B21/$J$2))+$I$2*((1-EXP(-B21/$K$2))/(B21/$K$2)-EXP(-B21/$K$2))</f>
        <v>2.677391192659222</v>
      </c>
      <c r="F21" s="3">
        <f t="shared" si="1"/>
        <v>0.63434868286459756</v>
      </c>
      <c r="G21" s="13">
        <f>(PRODUCT($D$5:D20)-PRODUCT($D$5:D21))*F21</f>
        <v>2.077583460142177E-3</v>
      </c>
      <c r="H21" s="5"/>
      <c r="I21" s="5">
        <f>PRODUCT($D$5:D20)*F20</f>
        <v>0.63700214749160056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2">
        <f>'základné pravdepodobnosti 2021'!C52</f>
        <v>3.8236631832787478E-3</v>
      </c>
      <c r="D22" s="3">
        <f t="shared" si="0"/>
        <v>0.99617633681672124</v>
      </c>
      <c r="E22" s="34">
        <f>$F$2+$G$2*(1-EXP(-B22/$J$2))/(B22/$J$2)+$H$2*((1-EXP(-B22/$J$2))/(B22/$J$2)-EXP(-B22/$J$2))+$I$2*((1-EXP(-B22/$K$2))/(B22/$K$2)-EXP(E25-B22/$K$2))</f>
        <v>2.6942538803239575</v>
      </c>
      <c r="F22" s="3">
        <f t="shared" si="1"/>
        <v>0.61571831648956443</v>
      </c>
      <c r="G22" s="13">
        <f>(PRODUCT($D$5:D21)-PRODUCT($D$5:D22))*F22</f>
        <v>2.2860700901342523E-3</v>
      </c>
      <c r="H22" s="5"/>
      <c r="I22" s="5">
        <f>PRODUCT($D$5:D21)*F21</f>
        <v>0.61596478122852072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2">
        <f>'základné pravdepodobnosti 2021'!C53</f>
        <v>4.3508081972202517E-3</v>
      </c>
      <c r="D23" s="3">
        <f t="shared" si="0"/>
        <v>0.99564919180277978</v>
      </c>
      <c r="E23" s="34">
        <f t="shared" si="2"/>
        <v>2.7071371076450825</v>
      </c>
      <c r="F23" s="3">
        <f t="shared" si="1"/>
        <v>0.59788547876541975</v>
      </c>
      <c r="G23" s="13">
        <f>(PRODUCT($D$5:D22)-PRODUCT($D$5:D23))*F23</f>
        <v>2.5162396636449706E-3</v>
      </c>
      <c r="H23" s="5"/>
      <c r="I23" s="5">
        <f>PRODUCT($D$5:D22)*F22</f>
        <v>0.59558826678437182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2">
        <f>'základné pravdepodobnosti 2021'!C54</f>
        <v>4.7802607156820949E-3</v>
      </c>
      <c r="D24" s="3">
        <f t="shared" si="0"/>
        <v>0.99521973928431795</v>
      </c>
      <c r="E24" s="34">
        <f t="shared" si="2"/>
        <v>2.7166304913512533</v>
      </c>
      <c r="F24" s="3">
        <f t="shared" si="1"/>
        <v>0.58081319430038336</v>
      </c>
      <c r="G24" s="13">
        <f>(PRODUCT($D$5:D23)-PRODUCT($D$5:D24))*F24</f>
        <v>2.6739818993725046E-3</v>
      </c>
      <c r="H24" s="5"/>
      <c r="I24" s="5">
        <f>PRODUCT($D$5:D23)*F23</f>
        <v>0.57582220909919279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2">
        <f>'základné pravdepodobnosti 2021'!C55</f>
        <v>5.3683226934888488E-3</v>
      </c>
      <c r="D25" s="3">
        <f t="shared" si="0"/>
        <v>0.99463167730651114</v>
      </c>
      <c r="E25" s="34">
        <f t="shared" si="2"/>
        <v>2.7232494038034414</v>
      </c>
      <c r="F25" s="3">
        <f t="shared" si="1"/>
        <v>0.56446190916033034</v>
      </c>
      <c r="G25" s="13">
        <f>(PRODUCT($D$5:D24)-PRODUCT($D$5:D25))*F25</f>
        <v>2.9044415503048549E-3</v>
      </c>
      <c r="H25" s="5"/>
      <c r="I25" s="5">
        <f>PRODUCT($D$5:D24)*F24</f>
        <v>0.55670594702381337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2">
        <f>'základné pravdepodobnosti 2021'!C56</f>
        <v>5.8385840569370583E-3</v>
      </c>
      <c r="D26" s="3">
        <f t="shared" si="0"/>
        <v>0.99416141594306295</v>
      </c>
      <c r="E26" s="34">
        <f t="shared" si="2"/>
        <v>2.7274420694849604</v>
      </c>
      <c r="F26" s="3">
        <f t="shared" si="1"/>
        <v>0.54879119034004287</v>
      </c>
      <c r="G26" s="13">
        <f>(PRODUCT($D$5:D25)-PRODUCT($D$5:D26))*F26</f>
        <v>3.0546843635331587E-3</v>
      </c>
      <c r="H26" s="5"/>
      <c r="I26" s="5">
        <f>PRODUCT($D$5:D25)*F25</f>
        <v>0.53812889719208945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2">
        <f>'základné pravdepodobnosti 2021'!C57</f>
        <v>6.3944107580785536E-3</v>
      </c>
      <c r="D27" s="3">
        <f t="shared" si="0"/>
        <v>0.99360558924192144</v>
      </c>
      <c r="E27" s="34">
        <f t="shared" si="2"/>
        <v>2.729596837035039</v>
      </c>
      <c r="F27" s="3">
        <f t="shared" si="1"/>
        <v>0.53376091098698419</v>
      </c>
      <c r="G27" s="13">
        <f>(PRODUCT($D$5:D26)-PRODUCT($D$5:D27))*F27</f>
        <v>3.2348628621850038E-3</v>
      </c>
      <c r="H27" s="5"/>
      <c r="I27" s="5">
        <f>PRODUCT($D$5:D26)*F26</f>
        <v>0.52013455702518596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2">
        <f>'základné pravdepodobnosti 2021'!C58</f>
        <v>6.9856464825959509E-3</v>
      </c>
      <c r="D28" s="3">
        <f t="shared" si="0"/>
        <v>0.99301435351740408</v>
      </c>
      <c r="E28" s="34">
        <f t="shared" si="2"/>
        <v>2.7300490600292013</v>
      </c>
      <c r="F28" s="3">
        <f t="shared" si="1"/>
        <v>0.51933206969951895</v>
      </c>
      <c r="G28" s="13">
        <f>(PRODUCT($D$5:D27)-PRODUCT($D$5:D28))*F28</f>
        <v>3.4164443357813578E-3</v>
      </c>
      <c r="H28" s="5"/>
      <c r="I28" s="5">
        <f>PRODUCT($D$5:D27)*F27</f>
        <v>0.50265426196423713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2">
        <f>'základné pravdepodobnosti 2021'!C59</f>
        <v>7.9751758402779125E-3</v>
      </c>
      <c r="D29" s="3">
        <f t="shared" si="0"/>
        <v>0.99202482415972204</v>
      </c>
      <c r="E29" s="34">
        <f t="shared" si="2"/>
        <v>2.7290874700094365</v>
      </c>
      <c r="F29" s="3">
        <f t="shared" si="1"/>
        <v>0.50546733211685646</v>
      </c>
      <c r="G29" s="13">
        <f>(PRODUCT($D$5:D28)-PRODUCT($D$5:D29))*F29</f>
        <v>3.7697407965416358E-3</v>
      </c>
      <c r="H29" s="5"/>
      <c r="I29" s="5">
        <f>PRODUCT($D$5:D28)*F28</f>
        <v>0.48564986388538595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2">
        <f>'základné pravdepodobnosti 2021'!C60</f>
        <v>8.9823729596385515E-3</v>
      </c>
      <c r="D30" s="3">
        <f t="shared" si="0"/>
        <v>0.99101762704036145</v>
      </c>
      <c r="E30" s="34">
        <f t="shared" si="2"/>
        <v>2.7269599760752272</v>
      </c>
      <c r="F30" s="3">
        <f t="shared" si="1"/>
        <v>0.49213136613999703</v>
      </c>
      <c r="G30" s="13">
        <f>(PRODUCT($D$5:D29)-PRODUCT($D$5:D30))*F30</f>
        <v>4.1008397523079661E-3</v>
      </c>
      <c r="H30" s="5"/>
      <c r="I30" s="5">
        <f>PRODUCT($D$5:D29)*F29</f>
        <v>0.46891460774194399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2">
        <f>'základné pravdepodobnosti 2021'!C61</f>
        <v>9.8472600277920534E-3</v>
      </c>
      <c r="D31" s="3">
        <f t="shared" si="0"/>
        <v>0.99015273997220798</v>
      </c>
      <c r="E31" s="34">
        <f t="shared" si="2"/>
        <v>2.7238788780655168</v>
      </c>
      <c r="F31" s="3">
        <f t="shared" si="1"/>
        <v>0.47929102554565678</v>
      </c>
      <c r="G31" s="13">
        <f>(PRODUCT($D$5:D30)-PRODUCT($D$5:D31))*F31</f>
        <v>4.3390709540118743E-3</v>
      </c>
      <c r="H31" s="5"/>
      <c r="I31" s="5">
        <f>PRODUCT($D$5:D30)*F30</f>
        <v>0.45244218854708312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2">
        <f>'základné pravdepodobnosti 2021'!C62</f>
        <v>1.062509620253387E-2</v>
      </c>
      <c r="D32" s="3">
        <f t="shared" si="0"/>
        <v>0.98937490379746618</v>
      </c>
      <c r="E32" s="34">
        <f t="shared" si="2"/>
        <v>2.7200255109193021</v>
      </c>
      <c r="F32" s="3">
        <f t="shared" si="1"/>
        <v>0.46691542380500017</v>
      </c>
      <c r="G32" s="13">
        <f>(PRODUCT($D$5:D31)-PRODUCT($D$5:D32))*F32</f>
        <v>4.5160145618003333E-3</v>
      </c>
      <c r="H32" s="5"/>
      <c r="I32" s="5">
        <f>PRODUCT($D$5:D31)*F31</f>
        <v>0.4362983187123175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58</v>
      </c>
      <c r="B33" s="1">
        <v>29</v>
      </c>
      <c r="C33" s="2">
        <f>'základné pravdepodobnosti 2021'!C63</f>
        <v>1.1532022872793221E-2</v>
      </c>
      <c r="D33" s="3">
        <f t="shared" si="0"/>
        <v>0.9884679771272068</v>
      </c>
      <c r="E33" s="34">
        <f t="shared" si="2"/>
        <v>2.7155543546283001</v>
      </c>
      <c r="F33" s="3">
        <f t="shared" si="1"/>
        <v>0.45497592985768037</v>
      </c>
      <c r="G33" s="13">
        <f>(PRODUCT($D$5:D32)-PRODUCT($D$5:D33))*F33</f>
        <v>4.725405131912214E-3</v>
      </c>
      <c r="H33" s="5"/>
      <c r="I33" s="5">
        <f>PRODUCT($D$5:D32)*F32</f>
        <v>0.42051680167974881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59</v>
      </c>
      <c r="B34" s="1">
        <v>30</v>
      </c>
      <c r="C34" s="2">
        <f>'základné pravdepodobnosti 2021'!C64</f>
        <v>1.282132401342323E-2</v>
      </c>
      <c r="D34" s="3">
        <f t="shared" si="0"/>
        <v>0.98717867598657683</v>
      </c>
      <c r="E34" s="34">
        <f t="shared" si="2"/>
        <v>2.7105966525155396</v>
      </c>
      <c r="F34" s="3">
        <f t="shared" si="1"/>
        <v>0.44344610980981691</v>
      </c>
      <c r="G34" s="13">
        <f>(PRODUCT($D$5:D33)-PRODUCT($D$5:D34))*F34</f>
        <v>5.0615258761370447E-3</v>
      </c>
      <c r="H34" s="5"/>
      <c r="I34" s="5">
        <f>PRODUCT($D$5:D33)*F33</f>
        <v>0.40503836173162439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60</v>
      </c>
      <c r="B35" s="1">
        <v>31</v>
      </c>
      <c r="C35" s="2">
        <f>'základné pravdepodobnosti 2021'!C65</f>
        <v>1.3993820694014239E-2</v>
      </c>
      <c r="D35" s="3">
        <f t="shared" si="0"/>
        <v>0.98600617930598577</v>
      </c>
      <c r="E35" s="34">
        <f t="shared" si="2"/>
        <v>2.7052635836649879</v>
      </c>
      <c r="F35" s="3">
        <f t="shared" si="1"/>
        <v>0.43230163252887305</v>
      </c>
      <c r="G35" s="13">
        <f>(PRODUCT($D$5:D34)-PRODUCT($D$5:D35))*F35</f>
        <v>5.3165105818473819E-3</v>
      </c>
      <c r="H35" s="5"/>
      <c r="I35" s="5">
        <f>PRODUCT($D$5:D34)*F34</f>
        <v>0.38971251390617484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61</v>
      </c>
      <c r="B36" s="1">
        <v>32</v>
      </c>
      <c r="C36" s="2">
        <f>'základné pravdepodobnosti 2021'!C66</f>
        <v>1.5789362132141549E-2</v>
      </c>
      <c r="D36" s="22">
        <f t="shared" si="0"/>
        <v>0.98421063786785845</v>
      </c>
      <c r="E36" s="34">
        <f t="shared" si="2"/>
        <v>2.6996490352598093</v>
      </c>
      <c r="F36" s="3">
        <f t="shared" si="1"/>
        <v>0.42152015250510699</v>
      </c>
      <c r="G36" s="13">
        <f>(PRODUCT($D$5:D35)-PRODUCT($D$5:D36))*F36</f>
        <v>5.7672140027574398E-3</v>
      </c>
      <c r="H36" s="5"/>
      <c r="I36" s="5">
        <f>PRODUCT($D$5:D35)*F35</f>
        <v>0.3746019332868441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62</v>
      </c>
      <c r="B37" s="1">
        <v>33</v>
      </c>
      <c r="C37" s="2">
        <f>'základné pravdepodobnosti 2021'!C67</f>
        <v>1.7491725665991654E-2</v>
      </c>
      <c r="D37" s="22">
        <f t="shared" si="0"/>
        <v>0.98250827433400834</v>
      </c>
      <c r="E37" s="34">
        <f t="shared" si="2"/>
        <v>2.6938320186748927</v>
      </c>
      <c r="F37" s="3">
        <f t="shared" si="1"/>
        <v>0.4110811798270062</v>
      </c>
      <c r="G37" s="13">
        <f>(PRODUCT($D$5:D36)-PRODUCT($D$5:D37))*F37</f>
        <v>6.1324137018527606E-3</v>
      </c>
      <c r="H37" s="5"/>
      <c r="I37" s="5">
        <f>PRODUCT($D$5:D36)*F36</f>
        <v>0.35949225338366814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63</v>
      </c>
      <c r="B38" s="1">
        <v>34</v>
      </c>
      <c r="C38" s="2">
        <f>'základné pravdepodobnosti 2021'!C68</f>
        <v>1.921968630142732E-2</v>
      </c>
      <c r="D38" s="22">
        <f t="shared" si="0"/>
        <v>0.98078031369857266</v>
      </c>
      <c r="E38" s="34">
        <f t="shared" si="2"/>
        <v>2.6878787702479112</v>
      </c>
      <c r="F38" s="3">
        <f t="shared" si="1"/>
        <v>0.40096594443249622</v>
      </c>
      <c r="G38" s="13">
        <f>(PRODUCT($D$5:D37)-PRODUCT($D$5:D38))*F38</f>
        <v>6.4574520947868214E-3</v>
      </c>
      <c r="H38" s="5"/>
      <c r="I38" s="5">
        <f>PRODUCT($D$5:D37)*F37</f>
        <v>0.34445699176633987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64</v>
      </c>
      <c r="B39" s="1">
        <v>35</v>
      </c>
      <c r="C39" s="2">
        <f>'základné pravdepodobnosti 2021'!C69</f>
        <v>2.0487828410334794E-2</v>
      </c>
      <c r="D39" s="22">
        <f t="shared" si="0"/>
        <v>0.97951217158966519</v>
      </c>
      <c r="E39" s="34">
        <f t="shared" si="2"/>
        <v>2.6818445742500954</v>
      </c>
      <c r="F39" s="3">
        <f t="shared" si="1"/>
        <v>0.39115725975798338</v>
      </c>
      <c r="G39" s="13">
        <f>(PRODUCT($D$5:D38)-PRODUCT($D$5:D39))*F39</f>
        <v>6.5860719884948448E-3</v>
      </c>
      <c r="H39" s="5"/>
      <c r="I39" s="5">
        <f>PRODUCT($D$5:D38)*F38</f>
        <v>0.32952368690576217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65</v>
      </c>
      <c r="B40" s="1">
        <v>36</v>
      </c>
      <c r="C40" s="2">
        <f>'základné pravdepodobnosti 2021'!C70</f>
        <v>2.1782008215735317E-2</v>
      </c>
      <c r="D40" s="22">
        <f t="shared" si="0"/>
        <v>0.97821799178426472</v>
      </c>
      <c r="E40" s="34">
        <f t="shared" si="2"/>
        <v>2.675775342023162</v>
      </c>
      <c r="F40" s="3">
        <f t="shared" si="1"/>
        <v>0.38163938936509795</v>
      </c>
      <c r="G40" s="13">
        <f>(PRODUCT($D$5:D39)-PRODUCT($D$5:D40))*F40</f>
        <v>6.6917560002009279E-3</v>
      </c>
      <c r="H40" s="5"/>
      <c r="I40" s="5">
        <f>PRODUCT($D$5:D39)*F39</f>
        <v>0.31487659631326548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66</v>
      </c>
      <c r="B41" s="1">
        <v>37</v>
      </c>
      <c r="C41" s="2">
        <f>'základné pravdepodobnosti 2021'!C71</f>
        <v>2.3345392397782359E-2</v>
      </c>
      <c r="D41" s="22">
        <f t="shared" si="0"/>
        <v>0.97665460760221767</v>
      </c>
      <c r="E41" s="34">
        <f t="shared" si="2"/>
        <v>2.6697089777438561</v>
      </c>
      <c r="F41" s="3">
        <f t="shared" si="1"/>
        <v>0.37239791896534757</v>
      </c>
      <c r="G41" s="13">
        <f>(PRODUCT($D$5:D40)-PRODUCT($D$5:D41))*F41</f>
        <v>6.8459395027832999E-3</v>
      </c>
      <c r="H41" s="5"/>
      <c r="I41" s="5">
        <f>PRODUCT($D$5:D40)*F40</f>
        <v>0.30052307625602814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67</v>
      </c>
      <c r="B42" s="1">
        <v>38</v>
      </c>
      <c r="C42" s="2">
        <f>'základné pravdepodobnosti 2021'!C72</f>
        <v>2.5277617903692692E-2</v>
      </c>
      <c r="D42" s="22">
        <f t="shared" si="0"/>
        <v>0.97472238209630735</v>
      </c>
      <c r="E42" s="34">
        <f t="shared" si="2"/>
        <v>2.663676557940764</v>
      </c>
      <c r="F42" s="3">
        <f t="shared" si="1"/>
        <v>0.3634196353967914</v>
      </c>
      <c r="G42" s="13">
        <f>(PRODUCT($D$5:D41)-PRODUCT($D$5:D42))*F42</f>
        <v>7.0649675247406851E-3</v>
      </c>
      <c r="H42" s="5"/>
      <c r="I42" s="5">
        <f>PRODUCT($D$5:D41)*F41</f>
        <v>0.28639991330342662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68</v>
      </c>
      <c r="B43" s="1">
        <v>39</v>
      </c>
      <c r="C43" s="2">
        <f>'základné pravdepodobnosti 2021'!C73</f>
        <v>2.8097097063730259E-2</v>
      </c>
      <c r="D43" s="22">
        <f t="shared" si="0"/>
        <v>0.9719029029362698</v>
      </c>
      <c r="E43" s="34">
        <f t="shared" si="2"/>
        <v>2.6577033487839246</v>
      </c>
      <c r="F43" s="3">
        <f t="shared" si="1"/>
        <v>0.35469241346555552</v>
      </c>
      <c r="G43" s="13">
        <f>(PRODUCT($D$5:D42)-PRODUCT($D$5:D43))*F43</f>
        <v>7.4706764302299392E-3</v>
      </c>
      <c r="H43" s="5"/>
      <c r="I43" s="5">
        <f>PRODUCT($D$5:D42)*F42</f>
        <v>0.27243002095313301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238">
        <v>69</v>
      </c>
      <c r="B44" s="238">
        <v>40</v>
      </c>
      <c r="C44" s="239">
        <f>'základné pravdepodobnosti 2021'!C74</f>
        <v>3.1015541214860165E-2</v>
      </c>
      <c r="D44" s="240">
        <f t="shared" si="0"/>
        <v>0.96898445878513983</v>
      </c>
      <c r="E44" s="241">
        <f t="shared" si="2"/>
        <v>2.651809682326193</v>
      </c>
      <c r="F44" s="242">
        <f t="shared" si="1"/>
        <v>0.34620511109549484</v>
      </c>
      <c r="G44" s="243">
        <f>(PRODUCT($D$5:D43)-PRODUCT($D$5:D44))*F44</f>
        <v>7.823161464059673E-3</v>
      </c>
      <c r="H44" s="243"/>
      <c r="I44" s="243">
        <f>PRODUCT($D$5:D43)*F43</f>
        <v>0.25841716291790162</v>
      </c>
      <c r="J44" s="243"/>
      <c r="K44" s="243"/>
      <c r="L44" s="243"/>
      <c r="M44" s="243"/>
      <c r="N44" s="243"/>
      <c r="O44" s="243"/>
      <c r="P44" s="243"/>
      <c r="Q44" s="243"/>
      <c r="R44" s="5"/>
    </row>
    <row r="45" spans="1:18" x14ac:dyDescent="0.25">
      <c r="A45" s="1">
        <v>70</v>
      </c>
      <c r="B45" s="1">
        <v>41</v>
      </c>
      <c r="C45" s="2"/>
      <c r="D45" s="22"/>
      <c r="E45" s="34">
        <f t="shared" si="2"/>
        <v>2.6460117103043426</v>
      </c>
      <c r="F45" s="22">
        <f t="shared" si="1"/>
        <v>0.3379474728906538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>
        <v>71</v>
      </c>
      <c r="B46" s="21">
        <v>42</v>
      </c>
      <c r="C46" s="20"/>
      <c r="D46" s="22"/>
      <c r="E46" s="34">
        <f t="shared" si="2"/>
        <v>2.6403220518020092</v>
      </c>
      <c r="F46" s="22">
        <f t="shared" si="1"/>
        <v>0.32991004197588397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>
        <v>72</v>
      </c>
      <c r="B47" s="21">
        <v>43</v>
      </c>
      <c r="C47" s="20"/>
      <c r="D47" s="22"/>
      <c r="E47" s="34">
        <f t="shared" si="2"/>
        <v>2.6347503490223207</v>
      </c>
      <c r="F47" s="22">
        <f t="shared" si="1"/>
        <v>0.32208407981676102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">
        <v>73</v>
      </c>
      <c r="B48" s="1">
        <v>44</v>
      </c>
      <c r="C48" s="20"/>
      <c r="D48" s="22"/>
      <c r="E48" s="34">
        <f t="shared" si="2"/>
        <v>2.629303743597545</v>
      </c>
      <c r="F48" s="22">
        <f t="shared" si="1"/>
        <v>0.3144614936121608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>
        <v>74</v>
      </c>
      <c r="B49" s="21">
        <v>45</v>
      </c>
      <c r="C49" s="20"/>
      <c r="D49" s="22"/>
      <c r="E49" s="34">
        <f t="shared" si="2"/>
        <v>2.6239872842565681</v>
      </c>
      <c r="F49" s="22">
        <f t="shared" si="1"/>
        <v>0.30703477078712083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>
        <v>75</v>
      </c>
      <c r="B50" s="21">
        <v>46</v>
      </c>
      <c r="C50" s="20"/>
      <c r="D50" s="22"/>
      <c r="E50" s="34">
        <f t="shared" si="2"/>
        <v>2.6188042752580478</v>
      </c>
      <c r="F50" s="22">
        <f t="shared" si="1"/>
        <v>0.2997969200789628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">
        <v>76</v>
      </c>
      <c r="B51" s="1">
        <v>47</v>
      </c>
      <c r="C51" s="20"/>
      <c r="D51" s="22"/>
      <c r="E51" s="34">
        <f t="shared" si="2"/>
        <v>2.6137565737579584</v>
      </c>
      <c r="F51" s="22">
        <f t="shared" si="1"/>
        <v>0.29274141869761816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>
        <v>77</v>
      </c>
      <c r="B52" s="21">
        <v>48</v>
      </c>
      <c r="C52" s="20"/>
      <c r="D52" s="22"/>
      <c r="E52" s="34">
        <f t="shared" si="2"/>
        <v>2.6088448431959783</v>
      </c>
      <c r="F52" s="22">
        <f t="shared" si="1"/>
        <v>0.28586216504526146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>
        <v>78</v>
      </c>
      <c r="B53" s="21">
        <v>49</v>
      </c>
      <c r="C53" s="20"/>
      <c r="D53" s="22"/>
      <c r="E53" s="34">
        <f t="shared" si="2"/>
        <v>2.6040687688384012</v>
      </c>
      <c r="F53" s="22">
        <f t="shared" si="1"/>
        <v>0.27915343649581803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">
        <v>79</v>
      </c>
      <c r="B54" s="1">
        <v>50</v>
      </c>
      <c r="C54" s="20"/>
      <c r="D54" s="22"/>
      <c r="E54" s="34">
        <f t="shared" si="2"/>
        <v>2.5994272407898085</v>
      </c>
      <c r="F54" s="22">
        <f t="shared" si="1"/>
        <v>0.27260985175795749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>
        <v>80</v>
      </c>
      <c r="B55" s="21">
        <v>51</v>
      </c>
      <c r="C55" s="20"/>
      <c r="D55" s="22"/>
      <c r="E55" s="34">
        <f t="shared" si="2"/>
        <v>2.5949185090672473</v>
      </c>
      <c r="F55" s="22">
        <f t="shared" si="1"/>
        <v>0.26622633737303752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>
        <v>81</v>
      </c>
      <c r="B56" s="21">
        <v>52</v>
      </c>
      <c r="C56" s="20"/>
      <c r="D56" s="22"/>
      <c r="E56" s="34">
        <f t="shared" si="2"/>
        <v>2.5905403147059318</v>
      </c>
      <c r="F56" s="22">
        <f t="shared" si="1"/>
        <v>0.25999809793003398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">
        <v>82</v>
      </c>
      <c r="B57" s="1">
        <v>53</v>
      </c>
      <c r="C57" s="20"/>
      <c r="D57" s="22"/>
      <c r="E57" s="34">
        <f t="shared" si="2"/>
        <v>2.5862900003230087</v>
      </c>
      <c r="F57" s="22">
        <f t="shared" si="1"/>
        <v>0.25392058961126418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>
        <v>83</v>
      </c>
      <c r="B58" s="21">
        <v>54</v>
      </c>
      <c r="C58" s="20"/>
      <c r="D58" s="22"/>
      <c r="E58" s="34">
        <f t="shared" si="2"/>
        <v>2.5821646030952268</v>
      </c>
      <c r="F58" s="22">
        <f t="shared" si="1"/>
        <v>0.24798949671456527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>
        <v>84</v>
      </c>
      <c r="B59" s="21">
        <v>55</v>
      </c>
      <c r="C59" s="20"/>
      <c r="D59" s="22"/>
      <c r="E59" s="34">
        <f t="shared" si="2"/>
        <v>2.5781609326984434</v>
      </c>
      <c r="F59" s="22">
        <f t="shared" si="1"/>
        <v>0.2422007108287372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1">
        <v>85</v>
      </c>
      <c r="B60" s="1">
        <v>56</v>
      </c>
      <c r="C60" s="20"/>
      <c r="D60" s="22"/>
      <c r="E60" s="34">
        <f t="shared" si="2"/>
        <v>2.5742756364035295</v>
      </c>
      <c r="F60" s="22">
        <f t="shared" si="1"/>
        <v>0.2365503123689765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>
        <v>86</v>
      </c>
      <c r="B61" s="21">
        <v>57</v>
      </c>
      <c r="C61" s="20"/>
      <c r="D61" s="22"/>
      <c r="E61" s="34">
        <f t="shared" si="2"/>
        <v>2.5705052532175343</v>
      </c>
      <c r="F61" s="22">
        <f t="shared" si="1"/>
        <v>0.23103455420732982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>
        <v>87</v>
      </c>
      <c r="B62" s="21">
        <v>58</v>
      </c>
      <c r="C62" s="20"/>
      <c r="D62" s="22"/>
      <c r="E62" s="34">
        <f t="shared" si="2"/>
        <v>2.5668462586945102</v>
      </c>
      <c r="F62" s="22">
        <f t="shared" si="1"/>
        <v>0.22564984715970482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">
        <v>88</v>
      </c>
      <c r="B63" s="1">
        <v>59</v>
      </c>
      <c r="C63" s="20"/>
      <c r="D63" s="22"/>
      <c r="E63" s="34">
        <f t="shared" si="2"/>
        <v>2.563295101811951</v>
      </c>
      <c r="F63" s="22">
        <f t="shared" si="1"/>
        <v>0.22039274711554652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>
        <v>89</v>
      </c>
      <c r="B64" s="21">
        <v>60</v>
      </c>
      <c r="C64" s="20"/>
      <c r="D64" s="22"/>
      <c r="E64" s="34">
        <f t="shared" si="2"/>
        <v>2.5598482351114344</v>
      </c>
      <c r="F64" s="22">
        <f t="shared" si="1"/>
        <v>0.21525994361891965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>
        <v>90</v>
      </c>
      <c r="B65" s="21">
        <v>61</v>
      </c>
      <c r="C65" s="20"/>
      <c r="D65" s="22"/>
      <c r="E65" s="34">
        <f t="shared" si="2"/>
        <v>2.5565021391317631</v>
      </c>
      <c r="F65" s="22">
        <f t="shared" si="1"/>
        <v>0.21024824973042783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1">
        <v>91</v>
      </c>
      <c r="B66" s="1">
        <v>62</v>
      </c>
      <c r="C66" s="20"/>
      <c r="D66" s="22"/>
      <c r="E66" s="34">
        <f t="shared" si="2"/>
        <v>2.5532533420160162</v>
      </c>
      <c r="F66" s="22">
        <f t="shared" si="1"/>
        <v>0.20535459301822617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>
        <v>92</v>
      </c>
      <c r="B67" s="21">
        <v>63</v>
      </c>
      <c r="C67" s="20"/>
      <c r="D67" s="22"/>
      <c r="E67" s="34">
        <f t="shared" si="2"/>
        <v>2.5500984350472762</v>
      </c>
      <c r="F67" s="22">
        <f t="shared" si="1"/>
        <v>0.20057600754343324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>
        <v>93</v>
      </c>
      <c r="B68" s="21">
        <v>64</v>
      </c>
      <c r="C68" s="20"/>
      <c r="D68" s="22"/>
      <c r="E68" s="34">
        <f t="shared" si="2"/>
        <v>2.5470340847587583</v>
      </c>
      <c r="F68" s="22">
        <f t="shared" si="1"/>
        <v>0.19590962672061016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">
        <v>94</v>
      </c>
      <c r="B69" s="1">
        <v>65</v>
      </c>
      <c r="C69" s="20"/>
      <c r="D69" s="22"/>
      <c r="E69" s="34">
        <f t="shared" si="2"/>
        <v>2.5440570421701199</v>
      </c>
      <c r="F69" s="22">
        <f t="shared" si="1"/>
        <v>0.19135267694779073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>
        <v>95</v>
      </c>
      <c r="B70" s="21">
        <v>66</v>
      </c>
      <c r="C70" s="20"/>
      <c r="D70" s="22"/>
      <c r="E70" s="34">
        <f t="shared" si="2"/>
        <v>2.5411641496209807</v>
      </c>
      <c r="F70" s="22">
        <f t="shared" ref="F70:F80" si="3">EXP(-(E70/100)*B70)</f>
        <v>0.18690247191290385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>
        <v>96</v>
      </c>
      <c r="B71" s="21">
        <v>67</v>
      </c>
      <c r="C71" s="20"/>
      <c r="D71" s="22"/>
      <c r="E71" s="34">
        <f t="shared" ref="E71:E80" si="4">$F$2+$G$2*(1-EXP(-B71/$J$2))/(B71/$J$2)+$H$2*((1-EXP(-B71/$J$2))/(B71/$J$2)-EXP(-B71/$J$2))+$I$2*((1-EXP(-B71/$K$2))/(B71/$K$2)-EXP(-B71/$K$2))</f>
        <v>2.5383523456031813</v>
      </c>
      <c r="F71" s="22">
        <f t="shared" si="3"/>
        <v>0.18255640749447569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1">
        <v>97</v>
      </c>
      <c r="B72" s="1">
        <v>68</v>
      </c>
      <c r="C72" s="20"/>
      <c r="D72" s="22"/>
      <c r="E72" s="34">
        <f t="shared" si="4"/>
        <v>2.5356186679336545</v>
      </c>
      <c r="F72" s="22">
        <f t="shared" si="3"/>
        <v>0.17831195718432688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>
        <v>98</v>
      </c>
      <c r="B73" s="21">
        <v>69</v>
      </c>
      <c r="C73" s="20"/>
      <c r="D73" s="22"/>
      <c r="E73" s="34">
        <f t="shared" si="4"/>
        <v>2.5329602555585118</v>
      </c>
      <c r="F73" s="22">
        <f t="shared" si="3"/>
        <v>0.17416666796872055</v>
      </c>
    </row>
    <row r="74" spans="1:18" x14ac:dyDescent="0.25">
      <c r="A74" s="21">
        <v>99</v>
      </c>
      <c r="B74" s="21">
        <v>70</v>
      </c>
      <c r="C74" s="20"/>
      <c r="D74" s="22"/>
      <c r="E74" s="34">
        <f t="shared" si="4"/>
        <v>2.5303743492350166</v>
      </c>
      <c r="F74" s="22">
        <f t="shared" si="3"/>
        <v>0.17011815661215601</v>
      </c>
    </row>
    <row r="75" spans="1:18" x14ac:dyDescent="0.25">
      <c r="A75" s="1">
        <v>100</v>
      </c>
      <c r="B75" s="1">
        <v>71</v>
      </c>
      <c r="C75" s="20"/>
      <c r="D75" s="22"/>
      <c r="E75" s="34">
        <f t="shared" si="4"/>
        <v>2.5278582913003826</v>
      </c>
      <c r="F75" s="22">
        <f t="shared" si="3"/>
        <v>0.16616410629486034</v>
      </c>
    </row>
    <row r="76" spans="1:18" x14ac:dyDescent="0.25">
      <c r="A76" s="21">
        <v>101</v>
      </c>
      <c r="B76" s="21">
        <v>72</v>
      </c>
      <c r="C76" s="20"/>
      <c r="D76" s="22"/>
      <c r="E76" s="34">
        <f t="shared" si="4"/>
        <v>2.5254095247040871</v>
      </c>
      <c r="F76" s="22">
        <f t="shared" si="3"/>
        <v>0.16230226356108005</v>
      </c>
    </row>
    <row r="77" spans="1:18" x14ac:dyDescent="0.25">
      <c r="A77" s="21">
        <v>102</v>
      </c>
      <c r="B77" s="21">
        <v>73</v>
      </c>
      <c r="C77" s="20"/>
      <c r="D77" s="22"/>
      <c r="E77" s="34">
        <f t="shared" si="4"/>
        <v>2.5230255914527517</v>
      </c>
      <c r="F77" s="22">
        <f t="shared" si="3"/>
        <v>0.15853043554060828</v>
      </c>
    </row>
    <row r="78" spans="1:18" x14ac:dyDescent="0.25">
      <c r="A78" s="1">
        <v>103</v>
      </c>
      <c r="B78" s="1">
        <v>74</v>
      </c>
      <c r="C78" s="20"/>
      <c r="D78" s="22"/>
      <c r="E78" s="34">
        <f t="shared" si="4"/>
        <v>2.5207041305929994</v>
      </c>
      <c r="F78" s="22">
        <f t="shared" si="3"/>
        <v>0.15484648741068785</v>
      </c>
    </row>
    <row r="79" spans="1:18" x14ac:dyDescent="0.25">
      <c r="A79" s="21">
        <v>104</v>
      </c>
      <c r="B79" s="21">
        <v>75</v>
      </c>
      <c r="C79" s="20"/>
      <c r="D79" s="22"/>
      <c r="E79" s="34">
        <f t="shared" si="4"/>
        <v>2.5184428758375597</v>
      </c>
      <c r="F79" s="22">
        <f t="shared" si="3"/>
        <v>0.15124834006955246</v>
      </c>
    </row>
    <row r="80" spans="1:18" x14ac:dyDescent="0.25">
      <c r="A80" s="21">
        <v>105</v>
      </c>
      <c r="B80" s="21">
        <v>76</v>
      </c>
      <c r="C80" s="20"/>
      <c r="D80" s="22"/>
      <c r="E80" s="34">
        <f t="shared" si="4"/>
        <v>2.5162396529226396</v>
      </c>
      <c r="F80" s="22">
        <f t="shared" si="3"/>
        <v>0.14773396799650071</v>
      </c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zoomScale="180" zoomScaleNormal="180" workbookViewId="0">
      <selection activeCell="C5" sqref="C5:C44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25">
      <c r="D2" s="37"/>
      <c r="F2">
        <f>'základné pravdepodobnosti 2021'!E2</f>
        <v>2.3501919999999998</v>
      </c>
      <c r="G2">
        <f>'základné pravdepodobnosti 2021'!F2</f>
        <v>-2.9701919999999999</v>
      </c>
      <c r="H2">
        <f>'základné pravdepodobnosti 2021'!G2</f>
        <v>4.3011549999999996</v>
      </c>
      <c r="I2">
        <f>'základné pravdepodobnosti 2021'!H2</f>
        <v>4.0061770000000001</v>
      </c>
      <c r="J2">
        <f>'základné pravdepodobnosti 2021'!I2</f>
        <v>6.9220969999999999</v>
      </c>
      <c r="K2">
        <f>'základné pravdepodobnosti 2021'!J2</f>
        <v>0.85175900000000004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8.976303229066393E-2</v>
      </c>
      <c r="H4" s="70"/>
      <c r="I4" s="5">
        <f>SUM(I5:I44)</f>
        <v>24.327652436210919</v>
      </c>
      <c r="J4" s="5"/>
      <c r="K4" s="5"/>
      <c r="L4" s="5"/>
      <c r="M4" s="7"/>
      <c r="N4" s="42">
        <f>PRODUCT(D5:D44)*F44</f>
        <v>0.27772840694153444</v>
      </c>
      <c r="O4" s="7">
        <f>N4/(12*L5)</f>
        <v>9.6447092602717653E-4</v>
      </c>
      <c r="P4" s="8">
        <f>B1*N4</f>
        <v>2777.2840694153447</v>
      </c>
      <c r="Q4" s="8">
        <f>P4/I4</f>
        <v>114.16161410138562</v>
      </c>
      <c r="R4" s="8">
        <f>P4/(12*L5)</f>
        <v>9.6447092602717657</v>
      </c>
      <c r="S4" s="36">
        <f>B1*(N4+K10/100+K11/100*L5)/(12*(1-K12/100)*L5)</f>
        <v>13.179527479887511</v>
      </c>
    </row>
    <row r="5" spans="1:19" ht="21" customHeight="1" x14ac:dyDescent="0.25">
      <c r="A5" s="1">
        <v>30</v>
      </c>
      <c r="B5" s="1">
        <v>1</v>
      </c>
      <c r="C5" s="65">
        <v>6.351877757641227E-4</v>
      </c>
      <c r="D5" s="3">
        <f>1-C5</f>
        <v>0.9993648122242359</v>
      </c>
      <c r="E5" s="34">
        <f>$F$2+$G$2*(1-EXP(-B5/$J$2))/(B5/$J$2)+$H$2*((1-EXP(-B5/$J$2))/(B5/$J$2)-EXP(-B5/$J$2))+$I$2*((1-EXP(-B5/$K$2))/(B5/$K$2)-EXP(-B5/$K$2))</f>
        <v>0.9860305346828504</v>
      </c>
      <c r="F5" s="3">
        <f>EXP(-(E5/100)*B5)</f>
        <v>0.99018814807797728</v>
      </c>
      <c r="G5" s="51">
        <f>C5*F5</f>
        <v>6.2895540736564615E-4</v>
      </c>
      <c r="H5" s="11">
        <f>B1*G4</f>
        <v>897.63032290663932</v>
      </c>
      <c r="I5" s="5">
        <f>1</f>
        <v>1</v>
      </c>
      <c r="J5" s="24">
        <f>B1*G4/I4</f>
        <v>36.897531533726855</v>
      </c>
      <c r="K5" s="26">
        <f>PRODUCT(D5:D44)*F44</f>
        <v>0.27772840694153444</v>
      </c>
      <c r="L5" s="25">
        <f>I4-11/24*(1-K5)</f>
        <v>23.996611289392455</v>
      </c>
      <c r="M5" s="8">
        <f>B1*G4/(12*L5)</f>
        <v>3.1172120932738778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65">
        <v>6.4575519800419109E-4</v>
      </c>
      <c r="D6" s="3">
        <f t="shared" ref="D6:D44" si="0">1-C6</f>
        <v>0.99935424480199586</v>
      </c>
      <c r="E6" s="34">
        <f>$F$2+$G$2*(1-EXP(-B6/$J$2))/(B6/$J$2)+$H$2*((1-EXP(-B6/$J$2))/(B6/$J$2)-EXP(-B6/$J$2))+$I$2*((1-EXP(-B6/$K$2))/(B6/$K$2)-EXP(-B6/$K$2))</f>
        <v>1.4446111684116043</v>
      </c>
      <c r="F6" s="3">
        <f t="shared" ref="F6:F44" si="1">EXP(-(E6/100)*B6)</f>
        <v>0.97152116610328243</v>
      </c>
      <c r="G6" s="12">
        <f>(D5-PRODUCT(D5:D6))*F6</f>
        <v>6.2696634850306328E-4</v>
      </c>
      <c r="H6" s="5"/>
      <c r="I6" s="13">
        <f>D5*F5</f>
        <v>0.98955919267061165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65">
        <v>7.0733642614240026E-4</v>
      </c>
      <c r="D7" s="3">
        <f t="shared" si="0"/>
        <v>0.9992926635738576</v>
      </c>
      <c r="E7" s="34">
        <f t="shared" ref="E7:E44" si="2">$F$2+$G$2*(1-EXP(-B7/$J$2))/(B7/$J$2)+$H$2*((1-EXP(-B7/$J$2))/(B7/$J$2)-EXP(-B7/$J$2))+$I$2*((1-EXP(-B7/$K$2))/(B7/$K$2)-EXP(-B7/$K$2))</f>
        <v>1.6273040610071074</v>
      </c>
      <c r="F7" s="3">
        <f t="shared" si="1"/>
        <v>0.95235337405570264</v>
      </c>
      <c r="G7" s="13">
        <f>(PRODUCT($D$5:D6)-PRODUCT($D$5:D7))*F7</f>
        <v>6.7277162130124739E-4</v>
      </c>
      <c r="H7" s="5"/>
      <c r="I7" s="35">
        <f>PRODUCT($D$5:D6)*F6</f>
        <v>0.97027710138617451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65">
        <v>7.0995550128589362E-4</v>
      </c>
      <c r="D8" s="3">
        <f t="shared" si="0"/>
        <v>0.99929004449871406</v>
      </c>
      <c r="E8" s="34">
        <f t="shared" si="2"/>
        <v>1.7564373466652632</v>
      </c>
      <c r="F8" s="3">
        <f t="shared" si="1"/>
        <v>0.9321537651237003</v>
      </c>
      <c r="G8" s="13">
        <f>(PRODUCT($D$5:D7)-PRODUCT($D$5:D8))*F8</f>
        <v>6.6047274563078471E-4</v>
      </c>
      <c r="H8" s="5"/>
      <c r="I8" s="5">
        <f>PRODUCT($D$5:D7)*F7</f>
        <v>0.9504610827036748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65">
        <v>7.594134502938465E-4</v>
      </c>
      <c r="D9" s="3">
        <f t="shared" si="0"/>
        <v>0.99924058654970616</v>
      </c>
      <c r="E9" s="34">
        <f t="shared" si="2"/>
        <v>1.8784810043238007</v>
      </c>
      <c r="F9" s="3">
        <f t="shared" si="1"/>
        <v>0.91035190064525529</v>
      </c>
      <c r="G9" s="13">
        <f>(PRODUCT($D$5:D8)-PRODUCT($D$5:D9))*F9</f>
        <v>6.8946998272143196E-4</v>
      </c>
      <c r="H9" s="5"/>
      <c r="I9" s="5">
        <f>PRODUCT($D$5:D8)*F8</f>
        <v>0.92964113691082739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65">
        <v>8.279802028143497E-4</v>
      </c>
      <c r="D10" s="3">
        <f t="shared" si="0"/>
        <v>0.99917201979718562</v>
      </c>
      <c r="E10" s="34">
        <f t="shared" si="2"/>
        <v>1.9972831483659572</v>
      </c>
      <c r="F10" s="3">
        <f t="shared" si="1"/>
        <v>0.88706502637596252</v>
      </c>
      <c r="G10" s="13">
        <f>(PRODUCT($D$5:D9)-PRODUCT($D$5:D10))*F10</f>
        <v>7.3193623965859763E-4</v>
      </c>
      <c r="H10" s="5"/>
      <c r="I10" s="5">
        <f>PRODUCT($D$5:D9)*F9</f>
        <v>0.90720856955636731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65">
        <v>9.3958852840120614E-4</v>
      </c>
      <c r="D11" s="3">
        <f t="shared" si="0"/>
        <v>0.99906041147159874</v>
      </c>
      <c r="E11" s="34">
        <f t="shared" si="2"/>
        <v>2.1092370667478044</v>
      </c>
      <c r="F11" s="3">
        <f t="shared" si="1"/>
        <v>0.8627359565559527</v>
      </c>
      <c r="G11" s="13">
        <f>(PRODUCT($D$5:D10)-PRODUCT($D$5:D11))*F11</f>
        <v>8.0714899232690602E-4</v>
      </c>
      <c r="H11" s="5"/>
      <c r="I11" s="5">
        <f>PRODUCT($D$5:D10)*F10</f>
        <v>0.88327016570752381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65">
        <v>1.0319366344008537E-3</v>
      </c>
      <c r="D12" s="3">
        <f t="shared" si="0"/>
        <v>0.99896806336559918</v>
      </c>
      <c r="E12" s="34">
        <f t="shared" si="2"/>
        <v>2.2112849186643211</v>
      </c>
      <c r="F12" s="3">
        <f t="shared" si="1"/>
        <v>0.83786122612762337</v>
      </c>
      <c r="G12" s="13">
        <f>(PRODUCT($D$5:D11)-PRODUCT($D$5:D12))*F12</f>
        <v>8.6011194280215893E-4</v>
      </c>
      <c r="H12" s="5"/>
      <c r="I12" s="5">
        <f>PRODUCT($D$5:D11)*F11</f>
        <v>0.85823802655948955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65">
        <v>1.0464696879975339E-3</v>
      </c>
      <c r="D13" s="3">
        <f t="shared" si="0"/>
        <v>0.99895353031200251</v>
      </c>
      <c r="E13" s="34">
        <f t="shared" si="2"/>
        <v>2.3019781018645897</v>
      </c>
      <c r="F13" s="3">
        <f t="shared" si="1"/>
        <v>0.81287492165918218</v>
      </c>
      <c r="G13" s="13">
        <f>(PRODUCT($D$5:D12)-PRODUCT($D$5:D13))*F13</f>
        <v>8.453408126853219E-4</v>
      </c>
      <c r="H13" s="5"/>
      <c r="I13" s="5">
        <f>PRODUCT($D$5:D12)*F12</f>
        <v>0.8326328702125666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65">
        <v>1.0284638099251429E-3</v>
      </c>
      <c r="D14" s="3">
        <f t="shared" si="0"/>
        <v>0.99897153619007484</v>
      </c>
      <c r="E14" s="34">
        <f t="shared" si="2"/>
        <v>2.3810857206022402</v>
      </c>
      <c r="F14" s="3">
        <f t="shared" si="1"/>
        <v>0.78811711894918035</v>
      </c>
      <c r="G14" s="13">
        <f>(PRODUCT($D$5:D13)-PRODUCT($D$5:D14))*F14</f>
        <v>8.0464908171798389E-4</v>
      </c>
      <c r="H14" s="5"/>
      <c r="I14" s="5">
        <f>PRODUCT($D$5:D13)*F13</f>
        <v>0.80695714250906425</v>
      </c>
      <c r="J14" s="5"/>
      <c r="K14" s="29" t="s">
        <v>7</v>
      </c>
      <c r="L14" s="30" t="s">
        <v>8</v>
      </c>
      <c r="M14" s="5"/>
      <c r="N14" s="29" t="s">
        <v>22</v>
      </c>
      <c r="O14" s="5"/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65">
        <v>1.0709044775518422E-3</v>
      </c>
      <c r="D15" s="3">
        <f t="shared" si="0"/>
        <v>0.99892909552244813</v>
      </c>
      <c r="E15" s="34">
        <f t="shared" si="2"/>
        <v>2.4490979668038828</v>
      </c>
      <c r="F15" s="3">
        <f t="shared" si="1"/>
        <v>0.7638370664653148</v>
      </c>
      <c r="G15" s="13">
        <f>(PRODUCT($D$5:D14)-PRODUCT($D$5:D15))*F15</f>
        <v>8.1120631452834117E-4</v>
      </c>
      <c r="H15" s="5"/>
      <c r="I15" s="5">
        <f>PRODUCT($D$5:D14)*F14</f>
        <v>0.78157492903541292</v>
      </c>
      <c r="J15" s="5"/>
      <c r="K15" s="8">
        <f>B1*(G4+K10/100+K11/100*I4)/((1-K12/100)*I4)</f>
        <v>78.232601024297026</v>
      </c>
      <c r="L15" s="8">
        <f>B1*(G4+K10/100+K11/100*L5)/(12*(1-K12/100)*L5)</f>
        <v>6.5860959980714648</v>
      </c>
      <c r="M15" s="5"/>
      <c r="N15" s="24">
        <f>B1*(N4+K10/100+K11/100*I3)/((1-K12/100)*I4)</f>
        <v>136.07510866839678</v>
      </c>
      <c r="O15" s="5"/>
      <c r="P15" s="5"/>
      <c r="Q15" s="5"/>
      <c r="R15" s="8">
        <f>B1*(G4+N4+K10/100+K11/100*I3)/((1-K12/100)*I4)</f>
        <v>173.34534254084812</v>
      </c>
    </row>
    <row r="16" spans="1:19" x14ac:dyDescent="0.25">
      <c r="A16" s="1">
        <v>41</v>
      </c>
      <c r="B16" s="1">
        <v>12</v>
      </c>
      <c r="C16" s="65">
        <v>1.2274063642613777E-3</v>
      </c>
      <c r="D16" s="3">
        <f t="shared" si="0"/>
        <v>0.99877259363573867</v>
      </c>
      <c r="E16" s="34">
        <f t="shared" si="2"/>
        <v>2.5068730030311168</v>
      </c>
      <c r="F16" s="3">
        <f t="shared" si="1"/>
        <v>0.74020747507057438</v>
      </c>
      <c r="G16" s="13">
        <f>(PRODUCT($D$5:D15)-PRODUCT($D$5:D16))*F16</f>
        <v>9.0002870139691796E-4</v>
      </c>
      <c r="H16" s="5"/>
      <c r="I16" s="5">
        <f>PRODUCT($D$5:D15)*F15</f>
        <v>0.75668521986796411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65">
        <v>1.4161826546013117E-3</v>
      </c>
      <c r="D17" s="3">
        <f t="shared" si="0"/>
        <v>0.99858381734539869</v>
      </c>
      <c r="E17" s="34">
        <f t="shared" si="2"/>
        <v>2.5554211283640349</v>
      </c>
      <c r="F17" s="3">
        <f t="shared" si="1"/>
        <v>0.71734043473983211</v>
      </c>
      <c r="G17" s="13">
        <f>(PRODUCT($D$5:D16)-PRODUCT($D$5:D17))*F17</f>
        <v>1.0051380667295245E-3</v>
      </c>
      <c r="H17" s="5"/>
      <c r="I17" s="5">
        <f>PRODUCT($D$5:D16)*F16</f>
        <v>0.73237684487792687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65">
        <v>1.5622393001174472E-3</v>
      </c>
      <c r="D18" s="3">
        <f t="shared" si="0"/>
        <v>0.99843776069988255</v>
      </c>
      <c r="E18" s="34">
        <f t="shared" si="2"/>
        <v>2.5957817548369411</v>
      </c>
      <c r="F18" s="3">
        <f t="shared" si="1"/>
        <v>0.69530168693890171</v>
      </c>
      <c r="G18" s="13">
        <f>(PRODUCT($D$5:D17)-PRODUCT($D$5:D18))*F18</f>
        <v>1.0732144318738859E-3</v>
      </c>
      <c r="H18" s="5"/>
      <c r="I18" s="5">
        <f>PRODUCT($D$5:D17)*F17</f>
        <v>0.70874657613749181</v>
      </c>
      <c r="J18" s="5"/>
      <c r="K18" s="5">
        <v>0.12972699996980511</v>
      </c>
      <c r="L18" s="8">
        <f>B1*(K18+K10/100+K11/100*L5)/(12*(1-K12/100)*L5)</f>
        <v>7.9879482441213359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65">
        <v>1.7069170953454866E-3</v>
      </c>
      <c r="D19" s="3">
        <f t="shared" si="0"/>
        <v>0.99829308290465446</v>
      </c>
      <c r="E19" s="34">
        <f t="shared" si="2"/>
        <v>2.628956940481757</v>
      </c>
      <c r="F19" s="3">
        <f t="shared" si="1"/>
        <v>0.67412242771411235</v>
      </c>
      <c r="G19" s="13">
        <f>(PRODUCT($D$5:D18)-PRODUCT($D$5:D19))*F19</f>
        <v>1.1351097759113461E-3</v>
      </c>
      <c r="H19" s="5"/>
      <c r="I19" s="5">
        <f>PRODUCT($D$5:D18)*F18</f>
        <v>0.68589864179605065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65">
        <v>1.79244123660696E-3</v>
      </c>
      <c r="D20" s="3">
        <f t="shared" si="0"/>
        <v>0.99820755876339307</v>
      </c>
      <c r="E20" s="34">
        <f t="shared" si="2"/>
        <v>2.6558780144468774</v>
      </c>
      <c r="F20" s="3">
        <f t="shared" si="1"/>
        <v>0.65380869715423451</v>
      </c>
      <c r="G20" s="13">
        <f>(PRODUCT($D$5:D19)-PRODUCT($D$5:D20))*F20</f>
        <v>1.1540917640900687E-3</v>
      </c>
      <c r="H20" s="5"/>
      <c r="I20" s="5">
        <f>PRODUCT($D$5:D19)*F19</f>
        <v>0.66387069455201153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65">
        <v>1.9609889240404178E-3</v>
      </c>
      <c r="D21" s="3">
        <f t="shared" si="0"/>
        <v>0.9980390110759596</v>
      </c>
      <c r="E21" s="34">
        <f t="shared" si="2"/>
        <v>2.677391192659222</v>
      </c>
      <c r="F21" s="3">
        <f t="shared" si="1"/>
        <v>0.63434868286459756</v>
      </c>
      <c r="G21" s="13">
        <f>(PRODUCT($D$5:D20)-PRODUCT($D$5:D21))*F21</f>
        <v>1.2228375297682888E-3</v>
      </c>
      <c r="H21" s="5"/>
      <c r="I21" s="5">
        <f>PRODUCT($D$5:D20)*F20</f>
        <v>0.64271179377799537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65">
        <v>2.1915353318650377E-3</v>
      </c>
      <c r="D22" s="3">
        <f t="shared" si="0"/>
        <v>0.997808464668135</v>
      </c>
      <c r="E22" s="34">
        <f t="shared" si="2"/>
        <v>2.6942539181765097</v>
      </c>
      <c r="F22" s="3">
        <f t="shared" si="1"/>
        <v>0.61571831229439267</v>
      </c>
      <c r="G22" s="13">
        <f>(PRODUCT($D$5:D21)-PRODUCT($D$5:D22))*F22</f>
        <v>1.3238648157904238E-3</v>
      </c>
      <c r="H22" s="5"/>
      <c r="I22" s="5">
        <f>PRODUCT($D$5:D21)*F21</f>
        <v>0.62235923107712321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65">
        <v>2.50621450025804E-3</v>
      </c>
      <c r="D23" s="3">
        <f t="shared" si="0"/>
        <v>0.99749378549974199</v>
      </c>
      <c r="E23" s="34">
        <f t="shared" si="2"/>
        <v>2.7071371076450825</v>
      </c>
      <c r="F23" s="3">
        <f t="shared" si="1"/>
        <v>0.59788547876541975</v>
      </c>
      <c r="G23" s="13">
        <f>(PRODUCT($D$5:D22)-PRODUCT($D$5:D23))*F23</f>
        <v>1.4668865309619328E-3</v>
      </c>
      <c r="H23" s="5"/>
      <c r="I23" s="5">
        <f>PRODUCT($D$5:D22)*F22</f>
        <v>0.6027571173802998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65">
        <v>2.7492339648723255E-3</v>
      </c>
      <c r="D24" s="3">
        <f t="shared" si="0"/>
        <v>0.99725076603512763</v>
      </c>
      <c r="E24" s="34">
        <f t="shared" si="2"/>
        <v>2.7166304913512533</v>
      </c>
      <c r="F24" s="3">
        <f t="shared" si="1"/>
        <v>0.58081319430038336</v>
      </c>
      <c r="G24" s="13">
        <f>(PRODUCT($D$5:D23)-PRODUCT($D$5:D24))*F24</f>
        <v>1.5592604019462274E-3</v>
      </c>
      <c r="H24" s="5"/>
      <c r="I24" s="5">
        <f>PRODUCT($D$5:D23)*F23</f>
        <v>0.58383278786280035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65">
        <v>2.9586052969170283E-3</v>
      </c>
      <c r="D25" s="3">
        <f t="shared" si="0"/>
        <v>0.99704139470308295</v>
      </c>
      <c r="E25" s="34">
        <f t="shared" si="2"/>
        <v>2.7232494038034414</v>
      </c>
      <c r="F25" s="3">
        <f t="shared" si="1"/>
        <v>0.56446190916033034</v>
      </c>
      <c r="G25" s="13">
        <f>(PRODUCT($D$5:D24)-PRODUCT($D$5:D25))*F25</f>
        <v>1.6262845082127336E-3</v>
      </c>
      <c r="H25" s="5"/>
      <c r="I25" s="5">
        <f>PRODUCT($D$5:D24)*F24</f>
        <v>0.56560250970174974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65">
        <v>3.3615550953189706E-3</v>
      </c>
      <c r="D26" s="3">
        <f t="shared" si="0"/>
        <v>0.99663844490468101</v>
      </c>
      <c r="E26" s="34">
        <f t="shared" si="2"/>
        <v>2.7274420694849604</v>
      </c>
      <c r="F26" s="3">
        <f t="shared" si="1"/>
        <v>0.54879119034004287</v>
      </c>
      <c r="G26" s="13">
        <f>(PRODUCT($D$5:D25)-PRODUCT($D$5:D26))*F26</f>
        <v>1.7911642332815658E-3</v>
      </c>
      <c r="H26" s="5"/>
      <c r="I26" s="5">
        <f>PRODUCT($D$5:D25)*F25</f>
        <v>0.54805315732452453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65">
        <v>3.8236631832787478E-3</v>
      </c>
      <c r="D27" s="3">
        <f t="shared" si="0"/>
        <v>0.99617633681672124</v>
      </c>
      <c r="E27" s="34">
        <f t="shared" si="2"/>
        <v>2.729596837035039</v>
      </c>
      <c r="F27" s="3">
        <f t="shared" si="1"/>
        <v>0.53376091098698419</v>
      </c>
      <c r="G27" s="13">
        <f>(PRODUCT($D$5:D26)-PRODUCT($D$5:D27))*F27</f>
        <v>1.9749316729243522E-3</v>
      </c>
      <c r="H27" s="5"/>
      <c r="I27" s="5">
        <f>PRODUCT($D$5:D26)*F26</f>
        <v>0.531046817739944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65">
        <v>4.3508081972202517E-3</v>
      </c>
      <c r="D28" s="3">
        <f t="shared" si="0"/>
        <v>0.99564919180277978</v>
      </c>
      <c r="E28" s="34">
        <f t="shared" si="2"/>
        <v>2.7300490600292013</v>
      </c>
      <c r="F28" s="3">
        <f t="shared" si="1"/>
        <v>0.51933206969951895</v>
      </c>
      <c r="G28" s="13">
        <f>(PRODUCT($D$5:D27)-PRODUCT($D$5:D28))*F28</f>
        <v>2.1780958166402751E-3</v>
      </c>
      <c r="H28" s="5"/>
      <c r="I28" s="5">
        <f>PRODUCT($D$5:D27)*F27</f>
        <v>0.51452758914556485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65">
        <v>4.7802607156820949E-3</v>
      </c>
      <c r="D29" s="3">
        <f t="shared" si="0"/>
        <v>0.99521973928431795</v>
      </c>
      <c r="E29" s="34">
        <f t="shared" si="2"/>
        <v>2.7290874700094365</v>
      </c>
      <c r="F29" s="3">
        <f t="shared" si="1"/>
        <v>0.50546733211685646</v>
      </c>
      <c r="G29" s="13">
        <f>(PRODUCT($D$5:D28)-PRODUCT($D$5:D29))*F29</f>
        <v>2.3190650079402287E-3</v>
      </c>
      <c r="H29" s="5"/>
      <c r="I29" s="5">
        <f>PRODUCT($D$5:D28)*F28</f>
        <v>0.49844057499304351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65">
        <v>5.3683226934888488E-3</v>
      </c>
      <c r="D30" s="3">
        <f t="shared" si="0"/>
        <v>0.99463167730651114</v>
      </c>
      <c r="E30" s="34">
        <f t="shared" si="2"/>
        <v>2.7269599760752272</v>
      </c>
      <c r="F30" s="3">
        <f t="shared" si="1"/>
        <v>0.49213136613999703</v>
      </c>
      <c r="G30" s="13">
        <f>(PRODUCT($D$5:D29)-PRODUCT($D$5:D30))*F30</f>
        <v>2.5235207910791284E-3</v>
      </c>
      <c r="H30" s="5"/>
      <c r="I30" s="5">
        <f>PRODUCT($D$5:D29)*F29</f>
        <v>0.48281451783877105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65">
        <v>5.8385840569370583E-3</v>
      </c>
      <c r="D31" s="3">
        <f t="shared" si="0"/>
        <v>0.99416141594306295</v>
      </c>
      <c r="E31" s="34">
        <f t="shared" si="2"/>
        <v>2.7238788780655168</v>
      </c>
      <c r="F31" s="3">
        <f t="shared" si="1"/>
        <v>0.47929102554565678</v>
      </c>
      <c r="G31" s="13">
        <f>(PRODUCT($D$5:D30)-PRODUCT($D$5:D31))*F31</f>
        <v>2.6586204962208582E-3</v>
      </c>
      <c r="H31" s="5"/>
      <c r="I31" s="5">
        <f>PRODUCT($D$5:D30)*F30</f>
        <v>0.46755269019002321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65">
        <v>6.3944107580785536E-3</v>
      </c>
      <c r="D32" s="3">
        <f t="shared" si="0"/>
        <v>0.99360558924192144</v>
      </c>
      <c r="E32" s="34">
        <f t="shared" si="2"/>
        <v>2.7200255109193021</v>
      </c>
      <c r="F32" s="3">
        <f t="shared" si="1"/>
        <v>0.46691542380500017</v>
      </c>
      <c r="G32" s="13">
        <f>(PRODUCT($D$5:D31)-PRODUCT($D$5:D32))*F32</f>
        <v>2.8199744226656783E-3</v>
      </c>
      <c r="H32" s="5"/>
      <c r="I32" s="5">
        <f>PRODUCT($D$5:D31)*F31</f>
        <v>0.45269501838169374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58</v>
      </c>
      <c r="B33" s="1">
        <v>29</v>
      </c>
      <c r="C33" s="65">
        <v>6.9856464825959509E-3</v>
      </c>
      <c r="D33" s="3">
        <f t="shared" si="0"/>
        <v>0.99301435351740408</v>
      </c>
      <c r="E33" s="34">
        <f t="shared" si="2"/>
        <v>2.7155543546283001</v>
      </c>
      <c r="F33" s="3">
        <f t="shared" si="1"/>
        <v>0.45497592985768037</v>
      </c>
      <c r="G33" s="13">
        <f>(PRODUCT($D$5:D32)-PRODUCT($D$5:D33))*F33</f>
        <v>2.9827404864109946E-3</v>
      </c>
      <c r="H33" s="5"/>
      <c r="I33" s="5">
        <f>PRODUCT($D$5:D32)*F32</f>
        <v>0.43818616818445466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59</v>
      </c>
      <c r="B34" s="1">
        <v>30</v>
      </c>
      <c r="C34" s="65">
        <v>7.9751758402779125E-3</v>
      </c>
      <c r="D34" s="3">
        <f t="shared" si="0"/>
        <v>0.99202482415972204</v>
      </c>
      <c r="E34" s="34">
        <f t="shared" si="2"/>
        <v>2.7105966525155396</v>
      </c>
      <c r="F34" s="3">
        <f t="shared" si="1"/>
        <v>0.44344610980981691</v>
      </c>
      <c r="G34" s="13">
        <f>(PRODUCT($D$5:D33)-PRODUCT($D$5:D34))*F34</f>
        <v>3.295771446431109E-3</v>
      </c>
      <c r="H34" s="5"/>
      <c r="I34" s="5">
        <f>PRODUCT($D$5:D33)*F33</f>
        <v>0.42399856952436615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60</v>
      </c>
      <c r="B35" s="1">
        <v>31</v>
      </c>
      <c r="C35" s="65">
        <v>8.9823729596385515E-3</v>
      </c>
      <c r="D35" s="3">
        <f t="shared" si="0"/>
        <v>0.99101762704036145</v>
      </c>
      <c r="E35" s="34">
        <f t="shared" si="2"/>
        <v>2.7052635836649879</v>
      </c>
      <c r="F35" s="3">
        <f t="shared" si="1"/>
        <v>0.43230163252887305</v>
      </c>
      <c r="G35" s="13">
        <f>(PRODUCT($D$5:D34)-PRODUCT($D$5:D35))*F35</f>
        <v>3.5898513808108596E-3</v>
      </c>
      <c r="H35" s="5"/>
      <c r="I35" s="5">
        <f>PRODUCT($D$5:D34)*F34</f>
        <v>0.40995799404248495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61</v>
      </c>
      <c r="B36" s="1">
        <v>32</v>
      </c>
      <c r="C36" s="65">
        <v>9.8472600277920534E-3</v>
      </c>
      <c r="D36" s="22">
        <f t="shared" si="0"/>
        <v>0.99015273997220798</v>
      </c>
      <c r="E36" s="34">
        <f t="shared" si="2"/>
        <v>2.6996490352598093</v>
      </c>
      <c r="F36" s="3">
        <f t="shared" si="1"/>
        <v>0.42152015250510699</v>
      </c>
      <c r="G36" s="13">
        <f>(PRODUCT($D$5:D35)-PRODUCT($D$5:D36))*F36</f>
        <v>3.8028889025774151E-3</v>
      </c>
      <c r="H36" s="5"/>
      <c r="I36" s="5">
        <f>PRODUCT($D$5:D35)*F35</f>
        <v>0.39606527282094595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62</v>
      </c>
      <c r="B37" s="1">
        <v>33</v>
      </c>
      <c r="C37" s="65">
        <v>1.062509620253387E-2</v>
      </c>
      <c r="D37" s="22">
        <f t="shared" si="0"/>
        <v>0.98937490379746618</v>
      </c>
      <c r="E37" s="34">
        <f t="shared" si="2"/>
        <v>2.6938320186748927</v>
      </c>
      <c r="F37" s="3">
        <f t="shared" si="1"/>
        <v>0.4110811798270062</v>
      </c>
      <c r="G37" s="13">
        <f>(PRODUCT($D$5:D36)-PRODUCT($D$5:D37))*F37</f>
        <v>3.9622561504478772E-3</v>
      </c>
      <c r="H37" s="5"/>
      <c r="I37" s="5">
        <f>PRODUCT($D$5:D36)*F36</f>
        <v>0.3823846284214788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63</v>
      </c>
      <c r="B38" s="1">
        <v>34</v>
      </c>
      <c r="C38" s="65">
        <v>1.1532022872793221E-2</v>
      </c>
      <c r="D38" s="22">
        <f t="shared" si="0"/>
        <v>0.9884679771272068</v>
      </c>
      <c r="E38" s="34">
        <f t="shared" si="2"/>
        <v>2.6878787702479112</v>
      </c>
      <c r="F38" s="3">
        <f t="shared" si="1"/>
        <v>0.40096594443249622</v>
      </c>
      <c r="G38" s="13">
        <f>(PRODUCT($D$5:D37)-PRODUCT($D$5:D38))*F38</f>
        <v>4.1500751012041098E-3</v>
      </c>
      <c r="H38" s="5"/>
      <c r="I38" s="5">
        <f>PRODUCT($D$5:D37)*F37</f>
        <v>0.36895259327020563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64</v>
      </c>
      <c r="B39" s="1">
        <v>35</v>
      </c>
      <c r="C39" s="65">
        <v>1.282132401342323E-2</v>
      </c>
      <c r="D39" s="22">
        <f t="shared" si="0"/>
        <v>0.98717867598657683</v>
      </c>
      <c r="E39" s="34">
        <f t="shared" si="2"/>
        <v>2.6818445742500954</v>
      </c>
      <c r="F39" s="3">
        <f t="shared" si="1"/>
        <v>0.39115725975798338</v>
      </c>
      <c r="G39" s="13">
        <f>(PRODUCT($D$5:D38)-PRODUCT($D$5:D39))*F39</f>
        <v>4.4492811307604383E-3</v>
      </c>
      <c r="H39" s="5"/>
      <c r="I39" s="5">
        <f>PRODUCT($D$5:D38)*F38</f>
        <v>0.35572391639036116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65</v>
      </c>
      <c r="B40" s="1">
        <v>36</v>
      </c>
      <c r="C40" s="65">
        <v>1.3993820694014239E-2</v>
      </c>
      <c r="D40" s="22">
        <f t="shared" si="0"/>
        <v>0.98600617930598577</v>
      </c>
      <c r="E40" s="34">
        <f t="shared" si="2"/>
        <v>2.675775342023162</v>
      </c>
      <c r="F40" s="3">
        <f t="shared" si="1"/>
        <v>0.38163938936509795</v>
      </c>
      <c r="G40" s="13">
        <f>(PRODUCT($D$5:D39)-PRODUCT($D$5:D40))*F40</f>
        <v>4.6772527606676554E-3</v>
      </c>
      <c r="H40" s="5"/>
      <c r="I40" s="5">
        <f>PRODUCT($D$5:D39)*F39</f>
        <v>0.3425726899310661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66</v>
      </c>
      <c r="B41" s="1">
        <v>37</v>
      </c>
      <c r="C41" s="65">
        <v>1.5789362132141549E-2</v>
      </c>
      <c r="D41" s="22">
        <f t="shared" si="0"/>
        <v>0.98421063786785845</v>
      </c>
      <c r="E41" s="34">
        <f t="shared" si="2"/>
        <v>2.6697089777438561</v>
      </c>
      <c r="F41" s="3">
        <f t="shared" si="1"/>
        <v>0.37239791896534757</v>
      </c>
      <c r="G41" s="13">
        <f>(PRODUCT($D$5:D40)-PRODUCT($D$5:D41))*F41</f>
        <v>5.0775336511057262E-3</v>
      </c>
      <c r="H41" s="5"/>
      <c r="I41" s="5">
        <f>PRODUCT($D$5:D40)*F40</f>
        <v>0.32955975534022258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67</v>
      </c>
      <c r="B42" s="1">
        <v>38</v>
      </c>
      <c r="C42" s="65">
        <v>1.7491725665991654E-2</v>
      </c>
      <c r="D42" s="22">
        <f t="shared" si="0"/>
        <v>0.98250827433400834</v>
      </c>
      <c r="E42" s="34">
        <f t="shared" si="2"/>
        <v>2.663676557940764</v>
      </c>
      <c r="F42" s="3">
        <f t="shared" si="1"/>
        <v>0.3634196353967914</v>
      </c>
      <c r="G42" s="13">
        <f>(PRODUCT($D$5:D41)-PRODUCT($D$5:D42))*F42</f>
        <v>5.4026903866910298E-3</v>
      </c>
      <c r="H42" s="5"/>
      <c r="I42" s="5">
        <f>PRODUCT($D$5:D41)*F41</f>
        <v>0.31650186953261544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68</v>
      </c>
      <c r="B43" s="1">
        <v>39</v>
      </c>
      <c r="C43" s="65">
        <v>1.921968630142732E-2</v>
      </c>
      <c r="D43" s="22">
        <f t="shared" si="0"/>
        <v>0.98078031369857266</v>
      </c>
      <c r="E43" s="34">
        <f t="shared" si="2"/>
        <v>2.6577033487839246</v>
      </c>
      <c r="F43" s="3">
        <f t="shared" si="1"/>
        <v>0.35469241346555552</v>
      </c>
      <c r="G43" s="13">
        <f>(PRODUCT($D$5:D42)-PRODUCT($D$5:D43))*F43</f>
        <v>5.6925053204831162E-3</v>
      </c>
      <c r="H43" s="5"/>
      <c r="I43" s="5">
        <f>PRODUCT($D$5:D42)*F42</f>
        <v>0.30346851476805387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>
        <v>69</v>
      </c>
      <c r="B44" s="1">
        <v>40</v>
      </c>
      <c r="C44" s="65">
        <v>2.0487828410334794E-2</v>
      </c>
      <c r="D44" s="22">
        <f t="shared" si="0"/>
        <v>0.97951217158966519</v>
      </c>
      <c r="E44" s="34">
        <f t="shared" si="2"/>
        <v>2.651809682326193</v>
      </c>
      <c r="F44" s="3">
        <f t="shared" si="1"/>
        <v>0.34620511109549484</v>
      </c>
      <c r="G44" s="13">
        <f>(PRODUCT($D$5:D43)-PRODUCT($D$5:D44))*F44</f>
        <v>5.8090671163986913E-3</v>
      </c>
      <c r="H44" s="5"/>
      <c r="I44" s="5">
        <f>PRODUCT($D$5:D43)*F43</f>
        <v>0.29048846408797097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">
        <v>70</v>
      </c>
      <c r="B45" s="1"/>
      <c r="C45" s="65">
        <v>5.0893397860034509E-2</v>
      </c>
      <c r="D45" s="22"/>
      <c r="E45" s="34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topLeftCell="J1" zoomScale="180" zoomScaleNormal="180" workbookViewId="0">
      <selection activeCell="E5" sqref="E5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25">
      <c r="D2" s="37"/>
      <c r="F2">
        <f>'základné pravdepodobnosti 2021'!E2</f>
        <v>2.3501919999999998</v>
      </c>
      <c r="G2">
        <f>'základné pravdepodobnosti 2021'!F2</f>
        <v>-2.9701919999999999</v>
      </c>
      <c r="H2">
        <f>'základné pravdepodobnosti 2021'!G2</f>
        <v>4.3011549999999996</v>
      </c>
      <c r="I2">
        <f>'základné pravdepodobnosti 2021'!H2</f>
        <v>4.0061770000000001</v>
      </c>
      <c r="J2">
        <f>'základné pravdepodobnosti 2021'!I2</f>
        <v>6.9220969999999999</v>
      </c>
      <c r="K2">
        <f>'základné pravdepodobnosti 2021'!J2</f>
        <v>0.85175900000000004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0.19682447490532401</v>
      </c>
      <c r="H4" s="54"/>
      <c r="I4" s="5">
        <f>SUM(I5:I44)</f>
        <v>23.16552625588524</v>
      </c>
      <c r="J4" s="5"/>
      <c r="K4" s="5"/>
      <c r="L4" s="5"/>
      <c r="M4" s="7"/>
      <c r="N4" s="42">
        <f>PRODUCT(D5:D44)*F44</f>
        <v>0.20060889719579708</v>
      </c>
      <c r="O4" s="7">
        <f>N4/(12*L5)</f>
        <v>7.3324735393506812E-4</v>
      </c>
      <c r="P4" s="8">
        <f>B1*N4</f>
        <v>2006.0889719579709</v>
      </c>
      <c r="Q4" s="8">
        <f>P4/I4</f>
        <v>86.598031480002348</v>
      </c>
      <c r="R4" s="8">
        <f>P4/(12*L5)</f>
        <v>7.3324735393506808</v>
      </c>
      <c r="S4" s="36">
        <f>B1*(N4+K10/100+K11/100*L5)/(12*(1-K12/100)*L5)</f>
        <v>10.936055178832698</v>
      </c>
    </row>
    <row r="5" spans="1:19" ht="21" customHeight="1" x14ac:dyDescent="0.25">
      <c r="A5" s="1">
        <v>30</v>
      </c>
      <c r="B5" s="1">
        <v>1</v>
      </c>
      <c r="C5" s="65">
        <v>1.0709044775518422E-3</v>
      </c>
      <c r="D5" s="3">
        <f>1-C5</f>
        <v>0.99892909552244813</v>
      </c>
      <c r="E5" s="34">
        <f>$F$2+$G$2*(1-EXP(-B5/$J$2))/(B5/$J$2)+$H$2*((1-EXP(-B5/$J$2))/(B5/$J$2)-EXP(-B5/$J$2))+$I$2*((1-EXP(-B5/$K$2))/(B5/$K$2)-EXP(-B5/$K$2))</f>
        <v>0.9860305346828504</v>
      </c>
      <c r="F5" s="3">
        <f>EXP(-(E5/100)*B5)</f>
        <v>0.99018814807797728</v>
      </c>
      <c r="G5" s="51">
        <f>C5*F5</f>
        <v>1.0603969213954724E-3</v>
      </c>
      <c r="H5" s="11">
        <f>B1*G4</f>
        <v>1968.2447490532402</v>
      </c>
      <c r="I5" s="5">
        <f>1</f>
        <v>1</v>
      </c>
      <c r="J5" s="24">
        <f>B1*G4/I4</f>
        <v>84.964387483025746</v>
      </c>
      <c r="K5" s="26">
        <f>PRODUCT(D5:D44)*F44</f>
        <v>0.20060889719579708</v>
      </c>
      <c r="L5" s="25">
        <f>I4-11/24*(1-K5)</f>
        <v>22.799138667099982</v>
      </c>
      <c r="M5" s="8">
        <f>B1*G4/(12*L5)</f>
        <v>7.1941487855909356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65">
        <v>1.2274063642613777E-3</v>
      </c>
      <c r="D6" s="3">
        <f t="shared" ref="D6:D44" si="0">1-C6</f>
        <v>0.99877259363573867</v>
      </c>
      <c r="E6" s="34">
        <f>$F$2+$G$2*(1-EXP(-B6/$J$2))/(B6/$J$2)+$H$2*((1-EXP(-B6/$J$2))/(B6/$J$2)-EXP(-B6/$J$2))+$I$2*((1-EXP(-B6/$K$2))/(B6/$K$2)-EXP(-B6/$K$2))</f>
        <v>1.4446111684116043</v>
      </c>
      <c r="F6" s="3">
        <f t="shared" ref="F6:F44" si="1">EXP(-(E6/100)*B6)</f>
        <v>0.97152116610328243</v>
      </c>
      <c r="G6" s="12">
        <f>(D5-PRODUCT(D5:D6))*F6</f>
        <v>1.1911742608936621E-3</v>
      </c>
      <c r="H6" s="5"/>
      <c r="I6" s="13">
        <f>D5*F5</f>
        <v>0.9891277511565818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65">
        <v>1.4161826546013117E-3</v>
      </c>
      <c r="D7" s="3">
        <f t="shared" si="0"/>
        <v>0.99858381734539869</v>
      </c>
      <c r="E7" s="34">
        <f t="shared" ref="E7:E44" si="2">$F$2+$G$2*(1-EXP(-B7/$J$2))/(B7/$J$2)+$H$2*((1-EXP(-B7/$J$2))/(B7/$J$2)-EXP(-B7/$J$2))+$I$2*((1-EXP(-B7/$K$2))/(B7/$K$2)-EXP(-B7/$K$2))</f>
        <v>1.6273040610071074</v>
      </c>
      <c r="F7" s="3">
        <f t="shared" si="1"/>
        <v>0.95235337405570264</v>
      </c>
      <c r="G7" s="13">
        <f>(PRODUCT($D$5:D6)-PRODUCT($D$5:D7))*F7</f>
        <v>1.3456083557961962E-3</v>
      </c>
      <c r="H7" s="5"/>
      <c r="I7" s="35">
        <f>PRODUCT($D$5:D6)*F6</f>
        <v>0.96928958547557231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65">
        <v>1.5622393001174472E-3</v>
      </c>
      <c r="D8" s="3">
        <f t="shared" si="0"/>
        <v>0.99843776069988255</v>
      </c>
      <c r="E8" s="34">
        <f t="shared" si="2"/>
        <v>1.7564373466652632</v>
      </c>
      <c r="F8" s="3">
        <f t="shared" si="1"/>
        <v>0.9321537651237003</v>
      </c>
      <c r="G8" s="13">
        <f>(PRODUCT($D$5:D7)-PRODUCT($D$5:D8))*F8</f>
        <v>1.4508446759714489E-3</v>
      </c>
      <c r="H8" s="5"/>
      <c r="I8" s="5">
        <f>PRODUCT($D$5:D7)*F7</f>
        <v>0.94882021342165679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65">
        <v>1.7069170953454866E-3</v>
      </c>
      <c r="D9" s="3">
        <f t="shared" si="0"/>
        <v>0.99829308290465446</v>
      </c>
      <c r="E9" s="34">
        <f t="shared" si="2"/>
        <v>1.8784810043238007</v>
      </c>
      <c r="F9" s="3">
        <f t="shared" si="1"/>
        <v>0.91035190064525529</v>
      </c>
      <c r="G9" s="13">
        <f>(PRODUCT($D$5:D8)-PRODUCT($D$5:D9))*F9</f>
        <v>1.54571183542875E-3</v>
      </c>
      <c r="H9" s="5"/>
      <c r="I9" s="5">
        <f>PRODUCT($D$5:D8)*F8</f>
        <v>0.92724469886996808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65">
        <v>1.79244123660696E-3</v>
      </c>
      <c r="D10" s="3">
        <f t="shared" si="0"/>
        <v>0.99820755876339307</v>
      </c>
      <c r="E10" s="34">
        <f t="shared" si="2"/>
        <v>1.9972831483659572</v>
      </c>
      <c r="F10" s="3">
        <f t="shared" si="1"/>
        <v>0.88706502637596252</v>
      </c>
      <c r="G10" s="13">
        <f>(PRODUCT($D$5:D9)-PRODUCT($D$5:D10))*F10</f>
        <v>1.5789386167918847E-3</v>
      </c>
      <c r="H10" s="5"/>
      <c r="I10" s="5">
        <f>PRODUCT($D$5:D9)*F9</f>
        <v>0.90401193923246681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65">
        <v>1.9609889240404178E-3</v>
      </c>
      <c r="D11" s="3">
        <f t="shared" si="0"/>
        <v>0.9980390110759596</v>
      </c>
      <c r="E11" s="34">
        <f t="shared" si="2"/>
        <v>2.1092370667478044</v>
      </c>
      <c r="F11" s="3">
        <f t="shared" si="1"/>
        <v>0.8627359565559527</v>
      </c>
      <c r="G11" s="13">
        <f>(PRODUCT($D$5:D10)-PRODUCT($D$5:D11))*F11</f>
        <v>1.6770219866869386E-3</v>
      </c>
      <c r="H11" s="5"/>
      <c r="I11" s="5">
        <f>PRODUCT($D$5:D10)*F10</f>
        <v>0.87930830306528296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65">
        <v>2.1915353318650377E-3</v>
      </c>
      <c r="D12" s="3">
        <f t="shared" si="0"/>
        <v>0.997808464668135</v>
      </c>
      <c r="E12" s="34">
        <f t="shared" si="2"/>
        <v>2.2112849186643211</v>
      </c>
      <c r="F12" s="3">
        <f t="shared" si="1"/>
        <v>0.83786122612762337</v>
      </c>
      <c r="G12" s="13">
        <f>(PRODUCT($D$5:D11)-PRODUCT($D$5:D12))*F12</f>
        <v>1.8165769698170859E-3</v>
      </c>
      <c r="H12" s="5"/>
      <c r="I12" s="5">
        <f>PRODUCT($D$5:D11)*F11</f>
        <v>0.85351495086322482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65">
        <v>2.50621450025804E-3</v>
      </c>
      <c r="D13" s="3">
        <f t="shared" si="0"/>
        <v>0.99749378549974199</v>
      </c>
      <c r="E13" s="34">
        <f t="shared" si="2"/>
        <v>2.3019781018645897</v>
      </c>
      <c r="F13" s="3">
        <f t="shared" si="1"/>
        <v>0.81287492165918218</v>
      </c>
      <c r="G13" s="13">
        <f>(PRODUCT($D$5:D12)-PRODUCT($D$5:D13))*F13</f>
        <v>2.0110477460538161E-3</v>
      </c>
      <c r="H13" s="5"/>
      <c r="I13" s="5">
        <f>PRODUCT($D$5:D12)*F12</f>
        <v>0.82708950699973438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65">
        <v>2.7492339648723255E-3</v>
      </c>
      <c r="D14" s="3">
        <f t="shared" si="0"/>
        <v>0.99725076603512763</v>
      </c>
      <c r="E14" s="34">
        <f t="shared" si="2"/>
        <v>2.3810857206022402</v>
      </c>
      <c r="F14" s="3">
        <f t="shared" si="1"/>
        <v>0.78811711894918035</v>
      </c>
      <c r="G14" s="13">
        <f>(PRODUCT($D$5:D13)-PRODUCT($D$5:D14))*F14</f>
        <v>2.1335021191205778E-3</v>
      </c>
      <c r="H14" s="5"/>
      <c r="I14" s="5">
        <f>PRODUCT($D$5:D13)*F13</f>
        <v>0.80041338394036077</v>
      </c>
      <c r="J14" s="5"/>
      <c r="K14" s="29" t="s">
        <v>7</v>
      </c>
      <c r="L14" s="30" t="s">
        <v>8</v>
      </c>
      <c r="M14" s="5"/>
      <c r="N14" s="29" t="s">
        <v>22</v>
      </c>
      <c r="O14" s="5"/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65">
        <v>2.9586052969170283E-3</v>
      </c>
      <c r="D15" s="3">
        <f t="shared" si="0"/>
        <v>0.99704139470308295</v>
      </c>
      <c r="E15" s="34">
        <f t="shared" si="2"/>
        <v>2.4490979668038828</v>
      </c>
      <c r="F15" s="3">
        <f t="shared" si="1"/>
        <v>0.7638370664653148</v>
      </c>
      <c r="G15" s="13">
        <f>(PRODUCT($D$5:D14)-PRODUCT($D$5:D15))*F15</f>
        <v>2.2191300545015983E-3</v>
      </c>
      <c r="H15" s="5"/>
      <c r="I15" s="5">
        <f>PRODUCT($D$5:D14)*F14</f>
        <v>0.77390162125737327</v>
      </c>
      <c r="J15" s="5"/>
      <c r="K15" s="8">
        <f>B1*(G4+K10/100+K11/100*I4)/((1-K12/100)*I4)</f>
        <v>127.82644827050824</v>
      </c>
      <c r="L15" s="8">
        <f>B1*(G4+K10/100+K11/100*L5)/(12*(1-K12/100)*L5)</f>
        <v>10.796333205338005</v>
      </c>
      <c r="M15" s="5"/>
      <c r="N15" s="24">
        <f>B1*(N4+K10/100+K11/100*I3)/((1-K12/100)*I4)</f>
        <v>109.27457351997955</v>
      </c>
      <c r="O15" s="5"/>
      <c r="P15" s="5"/>
      <c r="Q15" s="5"/>
      <c r="R15" s="8">
        <f>B1*(G4+N4+K10/100+K11/100*I3)/((1-K12/100)*I4)</f>
        <v>195.09718713919744</v>
      </c>
    </row>
    <row r="16" spans="1:19" x14ac:dyDescent="0.25">
      <c r="A16" s="1">
        <v>41</v>
      </c>
      <c r="B16" s="1">
        <v>12</v>
      </c>
      <c r="C16" s="65">
        <v>3.3615550953189706E-3</v>
      </c>
      <c r="D16" s="3">
        <f t="shared" si="0"/>
        <v>0.99663844490468101</v>
      </c>
      <c r="E16" s="34">
        <f t="shared" si="2"/>
        <v>2.5068730030311168</v>
      </c>
      <c r="F16" s="3">
        <f t="shared" si="1"/>
        <v>0.74020747507057438</v>
      </c>
      <c r="G16" s="13">
        <f>(PRODUCT($D$5:D15)-PRODUCT($D$5:D16))*F16</f>
        <v>2.4361379943683326E-3</v>
      </c>
      <c r="H16" s="5"/>
      <c r="I16" s="5">
        <f>PRODUCT($D$5:D15)*F15</f>
        <v>0.74784038508730932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65">
        <v>3.8236631832787478E-3</v>
      </c>
      <c r="D17" s="3">
        <f t="shared" si="0"/>
        <v>0.99617633681672124</v>
      </c>
      <c r="E17" s="34">
        <f t="shared" si="2"/>
        <v>2.5554211283640349</v>
      </c>
      <c r="F17" s="3">
        <f t="shared" si="1"/>
        <v>0.71734043473983211</v>
      </c>
      <c r="G17" s="13">
        <f>(PRODUCT($D$5:D16)-PRODUCT($D$5:D17))*F17</f>
        <v>2.6763984017704433E-3</v>
      </c>
      <c r="H17" s="5"/>
      <c r="I17" s="5">
        <f>PRODUCT($D$5:D16)*F16</f>
        <v>0.7222695191464793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65">
        <v>4.3508081972202517E-3</v>
      </c>
      <c r="D18" s="3">
        <f t="shared" si="0"/>
        <v>0.99564919180277978</v>
      </c>
      <c r="E18" s="34">
        <f t="shared" si="2"/>
        <v>2.5957817548369411</v>
      </c>
      <c r="F18" s="3">
        <f t="shared" si="1"/>
        <v>0.69530168693890171</v>
      </c>
      <c r="G18" s="13">
        <f>(PRODUCT($D$5:D17)-PRODUCT($D$5:D18))*F18</f>
        <v>2.9405276216431559E-3</v>
      </c>
      <c r="H18" s="5"/>
      <c r="I18" s="5">
        <f>PRODUCT($D$5:D17)*F17</f>
        <v>0.69728023310139819</v>
      </c>
      <c r="J18" s="5"/>
      <c r="K18" s="5">
        <v>0.12972699996980511</v>
      </c>
      <c r="L18" s="8">
        <f>B1*(K18+K10/100+K11/100*L5)/(12*(1-K12/100)*L5)</f>
        <v>8.3190748829509875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65">
        <v>4.7802607156820949E-3</v>
      </c>
      <c r="D19" s="3">
        <f t="shared" si="0"/>
        <v>0.99521973928431795</v>
      </c>
      <c r="E19" s="34">
        <f t="shared" si="2"/>
        <v>2.628956940481757</v>
      </c>
      <c r="F19" s="3">
        <f t="shared" si="1"/>
        <v>0.67412242771411235</v>
      </c>
      <c r="G19" s="13">
        <f>(PRODUCT($D$5:D18)-PRODUCT($D$5:D19))*F19</f>
        <v>3.1187369627542795E-3</v>
      </c>
      <c r="H19" s="5"/>
      <c r="I19" s="5">
        <f>PRODUCT($D$5:D18)*F18</f>
        <v>0.67291726439086108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65">
        <v>5.3683226934888488E-3</v>
      </c>
      <c r="D20" s="3">
        <f t="shared" si="0"/>
        <v>0.99463167730651114</v>
      </c>
      <c r="E20" s="34">
        <f t="shared" si="2"/>
        <v>2.6558780144468774</v>
      </c>
      <c r="F20" s="3">
        <f t="shared" si="1"/>
        <v>0.65380869715423451</v>
      </c>
      <c r="G20" s="13">
        <f>(PRODUCT($D$5:D19)-PRODUCT($D$5:D20))*F20</f>
        <v>3.3806224873383617E-3</v>
      </c>
      <c r="H20" s="5"/>
      <c r="I20" s="5">
        <f>PRODUCT($D$5:D19)*F19</f>
        <v>0.64930110962071619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65">
        <v>5.8385840569370583E-3</v>
      </c>
      <c r="D21" s="3">
        <f t="shared" si="0"/>
        <v>0.99416141594306295</v>
      </c>
      <c r="E21" s="34">
        <f t="shared" si="2"/>
        <v>2.677391192659222</v>
      </c>
      <c r="F21" s="3">
        <f t="shared" si="1"/>
        <v>0.63434868286459756</v>
      </c>
      <c r="G21" s="13">
        <f>(PRODUCT($D$5:D20)-PRODUCT($D$5:D21))*F21</f>
        <v>3.5481766624258226E-3</v>
      </c>
      <c r="H21" s="5"/>
      <c r="I21" s="5">
        <f>PRODUCT($D$5:D20)*F20</f>
        <v>0.62635471205927129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65">
        <v>6.3944107580785536E-3</v>
      </c>
      <c r="D22" s="3">
        <f t="shared" si="0"/>
        <v>0.99360558924192144</v>
      </c>
      <c r="E22" s="34">
        <f t="shared" si="2"/>
        <v>2.6942539181765097</v>
      </c>
      <c r="F22" s="3">
        <f t="shared" si="1"/>
        <v>0.61571831229439267</v>
      </c>
      <c r="G22" s="13">
        <f>(PRODUCT($D$5:D21)-PRODUCT($D$5:D22))*F22</f>
        <v>3.7498091145124362E-3</v>
      </c>
      <c r="H22" s="5"/>
      <c r="I22" s="5">
        <f>PRODUCT($D$5:D21)*F21</f>
        <v>0.60416366371265395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65">
        <v>6.9856464825959509E-3</v>
      </c>
      <c r="D23" s="3">
        <f t="shared" si="0"/>
        <v>0.99301435351740408</v>
      </c>
      <c r="E23" s="34">
        <f t="shared" si="2"/>
        <v>2.7071371076450825</v>
      </c>
      <c r="F23" s="3">
        <f t="shared" si="1"/>
        <v>0.59788547876541975</v>
      </c>
      <c r="G23" s="13">
        <f>(PRODUCT($D$5:D22)-PRODUCT($D$5:D23))*F23</f>
        <v>3.9524391702792268E-3</v>
      </c>
      <c r="H23" s="5"/>
      <c r="I23" s="5">
        <f>PRODUCT($D$5:D22)*F22</f>
        <v>0.5826699966158243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65">
        <v>7.9751758402779125E-3</v>
      </c>
      <c r="D24" s="3">
        <f t="shared" si="0"/>
        <v>0.99202482415972204</v>
      </c>
      <c r="E24" s="34">
        <f t="shared" si="2"/>
        <v>2.7166304913512533</v>
      </c>
      <c r="F24" s="3">
        <f t="shared" si="1"/>
        <v>0.58081319430038336</v>
      </c>
      <c r="G24" s="13">
        <f>(PRODUCT($D$5:D23)-PRODUCT($D$5:D24))*F24</f>
        <v>4.3528414884797719E-3</v>
      </c>
      <c r="H24" s="5"/>
      <c r="I24" s="5">
        <f>PRODUCT($D$5:D23)*F23</f>
        <v>0.56184189069258172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65">
        <v>8.9823729596385515E-3</v>
      </c>
      <c r="D25" s="3">
        <f t="shared" si="0"/>
        <v>0.99101762704036145</v>
      </c>
      <c r="E25" s="34">
        <f t="shared" si="2"/>
        <v>2.7232494038034414</v>
      </c>
      <c r="F25" s="3">
        <f t="shared" si="1"/>
        <v>0.56446190916033034</v>
      </c>
      <c r="G25" s="13">
        <f>(PRODUCT($D$5:D24)-PRODUCT($D$5:D25))*F25</f>
        <v>4.7265512920992873E-3</v>
      </c>
      <c r="H25" s="5"/>
      <c r="I25" s="5">
        <f>PRODUCT($D$5:D24)*F24</f>
        <v>0.54144596917800036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65">
        <v>9.8472600277920534E-3</v>
      </c>
      <c r="D26" s="3">
        <f t="shared" si="0"/>
        <v>0.99015273997220798</v>
      </c>
      <c r="E26" s="34">
        <f t="shared" si="2"/>
        <v>2.7274420694849604</v>
      </c>
      <c r="F26" s="3">
        <f t="shared" si="1"/>
        <v>0.54879119034004287</v>
      </c>
      <c r="G26" s="13">
        <f>(PRODUCT($D$5:D25)-PRODUCT($D$5:D26))*F26</f>
        <v>4.9925516640521028E-3</v>
      </c>
      <c r="H26" s="5"/>
      <c r="I26" s="5">
        <f>PRODUCT($D$5:D25)*F25</f>
        <v>0.52147641459871497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65">
        <v>1.062509620253387E-2</v>
      </c>
      <c r="D27" s="3">
        <f t="shared" si="0"/>
        <v>0.98937490379746618</v>
      </c>
      <c r="E27" s="34">
        <f t="shared" si="2"/>
        <v>2.729596837035039</v>
      </c>
      <c r="F27" s="3">
        <f t="shared" si="1"/>
        <v>0.53376091098698419</v>
      </c>
      <c r="G27" s="13">
        <f>(PRODUCT($D$5:D26)-PRODUCT($D$5:D27))*F27</f>
        <v>5.1877837082457343E-3</v>
      </c>
      <c r="H27" s="5"/>
      <c r="I27" s="5">
        <f>PRODUCT($D$5:D26)*F26</f>
        <v>0.50200651710853916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65">
        <v>1.1532022872793221E-2</v>
      </c>
      <c r="D28" s="3">
        <f t="shared" si="0"/>
        <v>0.9884679771272068</v>
      </c>
      <c r="E28" s="34">
        <f t="shared" si="2"/>
        <v>2.7300490600292013</v>
      </c>
      <c r="F28" s="3">
        <f t="shared" si="1"/>
        <v>0.51933206969951895</v>
      </c>
      <c r="G28" s="13">
        <f>(PRODUCT($D$5:D27)-PRODUCT($D$5:D28))*F28</f>
        <v>5.4201805212687436E-3</v>
      </c>
      <c r="H28" s="5"/>
      <c r="I28" s="5">
        <f>PRODUCT($D$5:D27)*F27</f>
        <v>0.48306979150397372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65">
        <v>1.282132401342323E-2</v>
      </c>
      <c r="D29" s="3">
        <f t="shared" si="0"/>
        <v>0.98717867598657683</v>
      </c>
      <c r="E29" s="34">
        <f t="shared" si="2"/>
        <v>2.7290874700094365</v>
      </c>
      <c r="F29" s="3">
        <f t="shared" si="1"/>
        <v>0.50546733211685646</v>
      </c>
      <c r="G29" s="13">
        <f>(PRODUCT($D$5:D28)-PRODUCT($D$5:D29))*F29</f>
        <v>5.7976459016575149E-3</v>
      </c>
      <c r="H29" s="5"/>
      <c r="I29" s="5">
        <f>PRODUCT($D$5:D28)*F28</f>
        <v>0.46459107258300991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65">
        <v>1.3993820694014239E-2</v>
      </c>
      <c r="D30" s="3">
        <f t="shared" si="0"/>
        <v>0.98600617930598577</v>
      </c>
      <c r="E30" s="34">
        <f t="shared" si="2"/>
        <v>2.7269599760752272</v>
      </c>
      <c r="F30" s="3">
        <f t="shared" si="1"/>
        <v>0.49213136613999703</v>
      </c>
      <c r="G30" s="13">
        <f>(PRODUCT($D$5:D29)-PRODUCT($D$5:D30))*F30</f>
        <v>6.0818938328176479E-3</v>
      </c>
      <c r="H30" s="5"/>
      <c r="I30" s="5">
        <f>PRODUCT($D$5:D29)*F29</f>
        <v>0.44639012312966131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65">
        <v>1.5789362132141549E-2</v>
      </c>
      <c r="D31" s="3">
        <f t="shared" si="0"/>
        <v>0.98421063786785845</v>
      </c>
      <c r="E31" s="34">
        <f t="shared" si="2"/>
        <v>2.7238788780655168</v>
      </c>
      <c r="F31" s="3">
        <f t="shared" si="1"/>
        <v>0.47929102554565678</v>
      </c>
      <c r="G31" s="13">
        <f>(PRODUCT($D$5:D30)-PRODUCT($D$5:D31))*F31</f>
        <v>6.5896902857842015E-3</v>
      </c>
      <c r="H31" s="5"/>
      <c r="I31" s="5">
        <f>PRODUCT($D$5:D30)*F30</f>
        <v>0.42853092319571068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65">
        <v>1.7491725665991654E-2</v>
      </c>
      <c r="D32" s="3">
        <f t="shared" si="0"/>
        <v>0.98250827433400834</v>
      </c>
      <c r="E32" s="34">
        <f t="shared" si="2"/>
        <v>2.7200255109193021</v>
      </c>
      <c r="F32" s="3">
        <f t="shared" si="1"/>
        <v>0.46691542380500017</v>
      </c>
      <c r="G32" s="13">
        <f>(PRODUCT($D$5:D31)-PRODUCT($D$5:D32))*F32</f>
        <v>6.9993877531182086E-3</v>
      </c>
      <c r="H32" s="5"/>
      <c r="I32" s="5">
        <f>PRODUCT($D$5:D31)*F31</f>
        <v>0.41076030971009392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58</v>
      </c>
      <c r="B33" s="1">
        <v>29</v>
      </c>
      <c r="C33" s="65">
        <v>1.921968630142732E-2</v>
      </c>
      <c r="D33" s="3">
        <f t="shared" si="0"/>
        <v>0.98078031369857266</v>
      </c>
      <c r="E33" s="34">
        <f t="shared" si="2"/>
        <v>2.7155543546283001</v>
      </c>
      <c r="F33" s="3">
        <f t="shared" si="1"/>
        <v>0.45497592985768037</v>
      </c>
      <c r="G33" s="13">
        <f>(PRODUCT($D$5:D32)-PRODUCT($D$5:D33))*F33</f>
        <v>7.3630899879872794E-3</v>
      </c>
      <c r="H33" s="5"/>
      <c r="I33" s="5">
        <f>PRODUCT($D$5:D32)*F32</f>
        <v>0.39315482726105772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59</v>
      </c>
      <c r="B34" s="1">
        <v>30</v>
      </c>
      <c r="C34" s="65">
        <v>2.0487828410334794E-2</v>
      </c>
      <c r="D34" s="3">
        <f t="shared" si="0"/>
        <v>0.97951217158966519</v>
      </c>
      <c r="E34" s="34">
        <f t="shared" si="2"/>
        <v>2.7105966525155396</v>
      </c>
      <c r="F34" s="3">
        <f t="shared" si="1"/>
        <v>0.44344610980981691</v>
      </c>
      <c r="G34" s="13">
        <f>(PRODUCT($D$5:D33)-PRODUCT($D$5:D34))*F34</f>
        <v>7.502982087303359E-3</v>
      </c>
      <c r="H34" s="5"/>
      <c r="I34" s="5">
        <f>PRODUCT($D$5:D33)*F33</f>
        <v>0.37573837548392686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60</v>
      </c>
      <c r="B35" s="1">
        <v>31</v>
      </c>
      <c r="C35" s="65">
        <v>2.1782008215735317E-2</v>
      </c>
      <c r="D35" s="3">
        <f t="shared" si="0"/>
        <v>0.97821799178426472</v>
      </c>
      <c r="E35" s="34">
        <f t="shared" si="2"/>
        <v>2.7052635836649879</v>
      </c>
      <c r="F35" s="3">
        <f t="shared" si="1"/>
        <v>0.43230163252887305</v>
      </c>
      <c r="G35" s="13">
        <f>(PRODUCT($D$5:D34)-PRODUCT($D$5:D35))*F35</f>
        <v>7.6171369193958338E-3</v>
      </c>
      <c r="H35" s="5"/>
      <c r="I35" s="5">
        <f>PRODUCT($D$5:D34)*F34</f>
        <v>0.35871358010913518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61</v>
      </c>
      <c r="B36" s="1">
        <v>32</v>
      </c>
      <c r="C36" s="65">
        <v>2.3345392397782359E-2</v>
      </c>
      <c r="D36" s="22">
        <f t="shared" si="0"/>
        <v>0.97665460760221767</v>
      </c>
      <c r="E36" s="34">
        <f t="shared" si="2"/>
        <v>2.6996490352598093</v>
      </c>
      <c r="F36" s="3">
        <f t="shared" si="1"/>
        <v>0.42152015250510699</v>
      </c>
      <c r="G36" s="13">
        <f>(PRODUCT($D$5:D35)-PRODUCT($D$5:D36))*F36</f>
        <v>7.7868558684855262E-3</v>
      </c>
      <c r="H36" s="5"/>
      <c r="I36" s="5">
        <f>PRODUCT($D$5:D35)*F35</f>
        <v>0.34208142365194971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62</v>
      </c>
      <c r="B37" s="1">
        <v>33</v>
      </c>
      <c r="C37" s="65">
        <v>2.5277617903692692E-2</v>
      </c>
      <c r="D37" s="22">
        <f t="shared" si="0"/>
        <v>0.97472238209630735</v>
      </c>
      <c r="E37" s="34">
        <f t="shared" si="2"/>
        <v>2.6938320186748927</v>
      </c>
      <c r="F37" s="3">
        <f t="shared" si="1"/>
        <v>0.4110811798270062</v>
      </c>
      <c r="G37" s="13">
        <f>(PRODUCT($D$5:D36)-PRODUCT($D$5:D37))*F37</f>
        <v>8.0305882260901969E-3</v>
      </c>
      <c r="H37" s="5"/>
      <c r="I37" s="5">
        <f>PRODUCT($D$5:D36)*F36</f>
        <v>0.32576315416369578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63</v>
      </c>
      <c r="B38" s="1">
        <v>34</v>
      </c>
      <c r="C38" s="65">
        <v>2.8097097063730259E-2</v>
      </c>
      <c r="D38" s="22">
        <f t="shared" si="0"/>
        <v>0.9719029029362698</v>
      </c>
      <c r="E38" s="34">
        <f t="shared" si="2"/>
        <v>2.6878787702479112</v>
      </c>
      <c r="F38" s="3">
        <f t="shared" si="1"/>
        <v>0.40096594443249622</v>
      </c>
      <c r="G38" s="13">
        <f>(PRODUCT($D$5:D37)-PRODUCT($D$5:D38))*F38</f>
        <v>8.4865953885514388E-3</v>
      </c>
      <c r="H38" s="5"/>
      <c r="I38" s="5">
        <f>PRODUCT($D$5:D37)*F37</f>
        <v>0.30966502125288126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64</v>
      </c>
      <c r="B39" s="1">
        <v>35</v>
      </c>
      <c r="C39" s="65">
        <v>3.1015541214860165E-2</v>
      </c>
      <c r="D39" s="22">
        <f t="shared" si="0"/>
        <v>0.96898445878513983</v>
      </c>
      <c r="E39" s="34">
        <f t="shared" si="2"/>
        <v>2.6818445742500954</v>
      </c>
      <c r="F39" s="3">
        <f t="shared" si="1"/>
        <v>0.39115725975798338</v>
      </c>
      <c r="G39" s="13">
        <f>(PRODUCT($D$5:D38)-PRODUCT($D$5:D39))*F39</f>
        <v>8.8821518898766702E-3</v>
      </c>
      <c r="H39" s="5"/>
      <c r="I39" s="5">
        <f>PRODUCT($D$5:D38)*F38</f>
        <v>0.29355867887241693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65</v>
      </c>
      <c r="B40" s="1">
        <v>36</v>
      </c>
      <c r="C40" s="65">
        <v>3.3576208414515571E-2</v>
      </c>
      <c r="D40" s="22">
        <f t="shared" si="0"/>
        <v>0.96642379158548442</v>
      </c>
      <c r="E40" s="34">
        <f t="shared" si="2"/>
        <v>2.675775342023162</v>
      </c>
      <c r="F40" s="3">
        <f t="shared" si="1"/>
        <v>0.38163938936509795</v>
      </c>
      <c r="G40" s="13">
        <f>(PRODUCT($D$5:D39)-PRODUCT($D$5:D40))*F40</f>
        <v>9.0905276581628967E-3</v>
      </c>
      <c r="H40" s="5"/>
      <c r="I40" s="5">
        <f>PRODUCT($D$5:D39)*F39</f>
        <v>0.27749530734404582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66</v>
      </c>
      <c r="B41" s="1">
        <v>37</v>
      </c>
      <c r="C41" s="65">
        <v>3.6439182521974742E-2</v>
      </c>
      <c r="D41" s="22">
        <f t="shared" si="0"/>
        <v>0.96356081747802524</v>
      </c>
      <c r="E41" s="34">
        <f t="shared" si="2"/>
        <v>2.6697089777438561</v>
      </c>
      <c r="F41" s="3">
        <f t="shared" si="1"/>
        <v>0.37239791896534757</v>
      </c>
      <c r="G41" s="13">
        <f>(PRODUCT($D$5:D40)-PRODUCT($D$5:D41))*F41</f>
        <v>9.3035293492656594E-3</v>
      </c>
      <c r="H41" s="5"/>
      <c r="I41" s="5">
        <f>PRODUCT($D$5:D40)*F40</f>
        <v>0.26165259931840446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67</v>
      </c>
      <c r="B42" s="1">
        <v>38</v>
      </c>
      <c r="C42" s="65">
        <v>3.9394860506877766E-2</v>
      </c>
      <c r="D42" s="22">
        <f t="shared" si="0"/>
        <v>0.96060513949312221</v>
      </c>
      <c r="E42" s="34">
        <f t="shared" si="2"/>
        <v>2.663676557940764</v>
      </c>
      <c r="F42" s="3">
        <f t="shared" si="1"/>
        <v>0.3634196353967914</v>
      </c>
      <c r="G42" s="13">
        <f>(PRODUCT($D$5:D41)-PRODUCT($D$5:D42))*F42</f>
        <v>9.4579921224985323E-3</v>
      </c>
      <c r="H42" s="5"/>
      <c r="I42" s="5">
        <f>PRODUCT($D$5:D41)*F41</f>
        <v>0.24601310251137323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68</v>
      </c>
      <c r="B43" s="1">
        <v>39</v>
      </c>
      <c r="C43" s="65">
        <v>4.2877879406435053E-2</v>
      </c>
      <c r="D43" s="22">
        <f t="shared" si="0"/>
        <v>0.95712212059356494</v>
      </c>
      <c r="E43" s="34">
        <f t="shared" si="2"/>
        <v>2.6577033487839246</v>
      </c>
      <c r="F43" s="3">
        <f t="shared" si="1"/>
        <v>0.35469241346555552</v>
      </c>
      <c r="G43" s="13">
        <f>(PRODUCT($D$5:D42)-PRODUCT($D$5:D43))*F43</f>
        <v>9.6511951308645722E-3</v>
      </c>
      <c r="H43" s="5"/>
      <c r="I43" s="5">
        <f>PRODUCT($D$5:D42)*F42</f>
        <v>0.23062388659991223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>
        <v>69</v>
      </c>
      <c r="B44" s="1">
        <v>40</v>
      </c>
      <c r="C44" s="65">
        <v>4.5988822084573416E-2</v>
      </c>
      <c r="D44" s="22">
        <f t="shared" si="0"/>
        <v>0.95401117791542656</v>
      </c>
      <c r="E44" s="34">
        <f t="shared" si="2"/>
        <v>2.651809682326193</v>
      </c>
      <c r="F44" s="3">
        <f t="shared" si="1"/>
        <v>0.34620511109549484</v>
      </c>
      <c r="G44" s="13">
        <f>(PRODUCT($D$5:D43)-PRODUCT($D$5:D44))*F44</f>
        <v>9.6705018717693405E-3</v>
      </c>
      <c r="H44" s="5"/>
      <c r="I44" s="5">
        <f>PRODUCT($D$5:D43)*F43</f>
        <v>0.21543444959941374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">
        <v>70</v>
      </c>
      <c r="B45" s="1"/>
      <c r="C45" s="65">
        <v>5.0893397860034509E-2</v>
      </c>
      <c r="D45" s="22"/>
      <c r="E45" s="34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10"/>
  <sheetViews>
    <sheetView topLeftCell="N1" zoomScale="180" zoomScaleNormal="180" workbookViewId="0">
      <selection activeCell="E45" sqref="E45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35">
      <c r="D2" s="37"/>
      <c r="F2">
        <f>'základné pravdepodobnosti 2021'!E3</f>
        <v>1.8524400000000001</v>
      </c>
      <c r="G2">
        <f>'základné pravdepodobnosti 2021'!F3</f>
        <v>-2.5452140000000001</v>
      </c>
      <c r="H2" s="19">
        <f>'základné pravdepodobnosti 2021'!G3</f>
        <v>26.050540999999999</v>
      </c>
      <c r="I2" s="39">
        <f>'základné pravdepodobnosti 2021'!H3</f>
        <v>-24.729244999999999</v>
      </c>
      <c r="J2" s="19">
        <f>'základné pravdepodobnosti 2021'!I3</f>
        <v>1.1056299999999999</v>
      </c>
      <c r="K2" s="19">
        <f>'základné pravdepodobnosti 2021'!J3</f>
        <v>1.1652899999999999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0.17527052907735355</v>
      </c>
      <c r="H4" s="6"/>
      <c r="I4" s="5">
        <f>SUM(I5:I44)</f>
        <v>27.55456403780288</v>
      </c>
      <c r="J4" s="5"/>
      <c r="K4" s="5"/>
      <c r="L4" s="5"/>
      <c r="M4" s="7"/>
      <c r="N4" s="7">
        <f>PRODUCT(D5:D44)*F44</f>
        <v>0.34615348058701584</v>
      </c>
      <c r="O4" s="7">
        <f>N4/(12*L5)</f>
        <v>1.0583836268323234E-3</v>
      </c>
      <c r="P4" s="8">
        <f>B1*N4</f>
        <v>3461.5348058701584</v>
      </c>
      <c r="Q4" s="8">
        <f>P4/I4</f>
        <v>125.62473502107242</v>
      </c>
      <c r="R4" s="8">
        <f>P4/(12*L5)</f>
        <v>10.583836268323234</v>
      </c>
      <c r="S4" s="36">
        <f>B1*(N4+K10/100+K11/100*L5)/(12*(1-K12/100)*L5)</f>
        <v>13.918465554922864</v>
      </c>
    </row>
    <row r="5" spans="1:19" ht="21" customHeight="1" x14ac:dyDescent="0.25">
      <c r="A5" s="1">
        <v>30</v>
      </c>
      <c r="B5" s="1">
        <v>1</v>
      </c>
      <c r="C5" s="2">
        <f>'základné pravdepodobnosti 2021'!C35</f>
        <v>8.279802028143497E-4</v>
      </c>
      <c r="D5" s="3">
        <f>1-C5</f>
        <v>0.99917201979718562</v>
      </c>
      <c r="E5" s="34">
        <f>$F$2+$G$2*(1-EXP(-B5/$J$2))/(B5/$J$2)+$H$2*((1-EXP(-B5/$J$2))/(B5/$J$2)-EXP(-B5/$J$2))+$I$2*((1-EXP(-B5/$K$2))/(B5/$K$2)-EXP(-B5/$K$2))</f>
        <v>0.66117366475260209</v>
      </c>
      <c r="F5" s="3">
        <f>EXP(-(E5/100)*B5)</f>
        <v>0.99341007279066318</v>
      </c>
      <c r="G5" s="51">
        <f>C5*F5</f>
        <v>8.2252387354703118E-4</v>
      </c>
      <c r="H5" s="11">
        <f>B1*G4</f>
        <v>1752.7052907735356</v>
      </c>
      <c r="I5" s="5">
        <f>1</f>
        <v>1</v>
      </c>
      <c r="J5" s="24">
        <f>B1*G4/I4</f>
        <v>63.608529184818529</v>
      </c>
      <c r="K5" s="26">
        <f>PRODUCT(D5:D44)*F44</f>
        <v>0.34615348058701584</v>
      </c>
      <c r="L5" s="25">
        <f>I4-11/24*(1-K5)</f>
        <v>27.254884383071929</v>
      </c>
      <c r="M5" s="8">
        <f>B1*G4/(12*L5)</f>
        <v>5.3589944531867246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2">
        <f>'základné pravdepodobnosti 2021'!C36</f>
        <v>9.3958852840120614E-4</v>
      </c>
      <c r="D6" s="3">
        <f t="shared" ref="D6:D44" si="0">1-C6</f>
        <v>0.99906041147159874</v>
      </c>
      <c r="E6" s="34">
        <f>$F$2+$G$2*(1-EXP(-B6/$J$2))/(B6/$J$2)+$H$2*((1-EXP(-B6/$J$2))/(B6/$J$2)-EXP(-B6/$J$2))+$I$2*((1-EXP(-B6/$K$2))/(B6/$K$2)-EXP(-B6/$K$2))</f>
        <v>1.0755904258034521</v>
      </c>
      <c r="F6" s="3">
        <f t="shared" ref="F6:F43" si="1">EXP(-(E6/100)*B6)</f>
        <v>0.97871792019462289</v>
      </c>
      <c r="G6" s="12">
        <f>(D5-PRODUCT(D5:D6))*F6</f>
        <v>9.188307262770109E-4</v>
      </c>
      <c r="H6" s="5"/>
      <c r="I6" s="13">
        <f>D5*F5</f>
        <v>0.99258754891711609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2">
        <f>'základné pravdepodobnosti 2021'!C37</f>
        <v>1.0319366344008537E-3</v>
      </c>
      <c r="D7" s="3">
        <f t="shared" si="0"/>
        <v>0.99896806336559918</v>
      </c>
      <c r="E7" s="34">
        <f t="shared" ref="E7:E70" si="2">$F$2+$G$2*(1-EXP(-B7/$J$2))/(B7/$J$2)+$H$2*((1-EXP(-B7/$J$2))/(B7/$J$2)-EXP(-B7/$J$2))+$I$2*((1-EXP(-B7/$K$2))/(B7/$K$2)-EXP(-B7/$K$2))</f>
        <v>1.2238097787174036</v>
      </c>
      <c r="F7" s="3">
        <f t="shared" si="1"/>
        <v>0.96395150335362567</v>
      </c>
      <c r="G7" s="13">
        <f>(PRODUCT($D$5:D6)-PRODUCT($D$5:D7))*F7</f>
        <v>9.9297937817517971E-4</v>
      </c>
      <c r="H7" s="5"/>
      <c r="I7" s="35">
        <f>PRODUCT($D$5:D6)*F6</f>
        <v>0.97698873040628509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2">
        <f>'základné pravdepodobnosti 2021'!C38</f>
        <v>1.0464696879975339E-3</v>
      </c>
      <c r="D8" s="3">
        <f t="shared" si="0"/>
        <v>0.99895353031200251</v>
      </c>
      <c r="E8" s="34">
        <f t="shared" si="2"/>
        <v>1.3032306860947243</v>
      </c>
      <c r="F8" s="3">
        <f t="shared" si="1"/>
        <v>0.94920619542653994</v>
      </c>
      <c r="G8" s="13">
        <f>(PRODUCT($D$5:D7)-PRODUCT($D$5:D8))*F8</f>
        <v>9.9053730285932344E-4</v>
      </c>
      <c r="H8" s="5"/>
      <c r="I8" s="5">
        <f>PRODUCT($D$5:D7)*F7</f>
        <v>0.96125542335610092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2">
        <f>'základné pravdepodobnosti 2021'!C39</f>
        <v>1.0284638099251429E-3</v>
      </c>
      <c r="D9" s="3">
        <f t="shared" si="0"/>
        <v>0.99897153619007484</v>
      </c>
      <c r="E9" s="34">
        <f t="shared" si="2"/>
        <v>1.3648269565488462</v>
      </c>
      <c r="F9" s="3">
        <f t="shared" si="1"/>
        <v>0.93403501904922503</v>
      </c>
      <c r="G9" s="13">
        <f>(PRODUCT($D$5:D8)-PRODUCT($D$5:D9))*F9</f>
        <v>9.5693199943304181E-4</v>
      </c>
      <c r="H9" s="5"/>
      <c r="I9" s="5">
        <f>PRODUCT($D$5:D8)*F8</f>
        <v>0.94556081933966218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2">
        <f>'základné pravdepodobnosti 2021'!C40</f>
        <v>1.0709044775518422E-3</v>
      </c>
      <c r="D10" s="3">
        <f t="shared" si="0"/>
        <v>0.99892909552244813</v>
      </c>
      <c r="E10" s="34">
        <f t="shared" si="2"/>
        <v>1.4188689521821152</v>
      </c>
      <c r="F10" s="3">
        <f t="shared" si="1"/>
        <v>0.91839092284183621</v>
      </c>
      <c r="G10" s="13">
        <f>(PRODUCT($D$5:D9)-PRODUCT($D$5:D10))*F10</f>
        <v>9.7872421867285287E-4</v>
      </c>
      <c r="H10" s="5"/>
      <c r="I10" s="5">
        <f>PRODUCT($D$5:D9)*F9</f>
        <v>0.92949097506173928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2">
        <f>'základné pravdepodobnosti 2021'!C41</f>
        <v>1.2274063642613777E-3</v>
      </c>
      <c r="D11" s="3">
        <f t="shared" si="0"/>
        <v>0.99877259363573867</v>
      </c>
      <c r="E11" s="34">
        <f t="shared" si="2"/>
        <v>1.4663850609980162</v>
      </c>
      <c r="F11" s="3">
        <f t="shared" si="1"/>
        <v>0.9024455217852978</v>
      </c>
      <c r="G11" s="13">
        <f>(PRODUCT($D$5:D10)-PRODUCT($D$5:D11))*F11</f>
        <v>1.1010981830854895E-3</v>
      </c>
      <c r="H11" s="5"/>
      <c r="I11" s="5">
        <f>PRODUCT($D$5:D10)*F10</f>
        <v>0.91294426255439698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2">
        <f>'základné pravdepodobnosti 2021'!C42</f>
        <v>1.4161826546013117E-3</v>
      </c>
      <c r="D12" s="3">
        <f t="shared" si="0"/>
        <v>0.99858381734539869</v>
      </c>
      <c r="E12" s="34">
        <f t="shared" si="2"/>
        <v>1.507326045432928</v>
      </c>
      <c r="F12" s="3">
        <f t="shared" si="1"/>
        <v>0.88640077946015683</v>
      </c>
      <c r="G12" s="13">
        <f>(PRODUCT($D$5:D11)-PRODUCT($D$5:D12))*F12</f>
        <v>1.2463289927464565E-3</v>
      </c>
      <c r="H12" s="5"/>
      <c r="I12" s="5">
        <f>PRODUCT($D$5:D11)*F11</f>
        <v>0.89599232999715406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2">
        <f>'základné pravdepodobnosti 2021'!C43</f>
        <v>1.5622393001174472E-3</v>
      </c>
      <c r="D13" s="3">
        <f t="shared" si="0"/>
        <v>0.99843776069988255</v>
      </c>
      <c r="E13" s="34">
        <f t="shared" si="2"/>
        <v>1.5420743012469824</v>
      </c>
      <c r="F13" s="3">
        <f t="shared" si="1"/>
        <v>0.87041367911215639</v>
      </c>
      <c r="G13" s="13">
        <f>(PRODUCT($D$5:D12)-PRODUCT($D$5:D13))*F13</f>
        <v>1.3481589153088117E-3</v>
      </c>
      <c r="H13" s="5"/>
      <c r="I13" s="5">
        <f>PRODUCT($D$5:D12)*F12</f>
        <v>0.87881599114445819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2">
        <f>'základné pravdepodobnosti 2021'!C44</f>
        <v>1.7069170953454866E-3</v>
      </c>
      <c r="D14" s="3">
        <f t="shared" si="0"/>
        <v>0.99829308290465446</v>
      </c>
      <c r="E14" s="34">
        <f t="shared" si="2"/>
        <v>1.5713819111685488</v>
      </c>
      <c r="F14" s="3">
        <f t="shared" si="1"/>
        <v>0.8545859544698905</v>
      </c>
      <c r="G14" s="13">
        <f>(PRODUCT($D$5:D13)-PRODUCT($D$5:D14))*F14</f>
        <v>1.4439661014623033E-3</v>
      </c>
      <c r="H14" s="5"/>
      <c r="I14" s="5">
        <f>PRODUCT($D$5:D13)*F13</f>
        <v>0.86161753091690252</v>
      </c>
      <c r="J14" s="5"/>
      <c r="K14" s="29" t="s">
        <v>7</v>
      </c>
      <c r="L14" s="30" t="s">
        <v>8</v>
      </c>
      <c r="M14" s="5"/>
      <c r="N14" s="5"/>
      <c r="O14" s="29" t="s">
        <v>22</v>
      </c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2">
        <f>'základné pravdepodobnosti 2021'!C45</f>
        <v>1.79244123660696E-3</v>
      </c>
      <c r="D15" s="3">
        <f t="shared" si="0"/>
        <v>0.99820755876339307</v>
      </c>
      <c r="E15" s="34">
        <f t="shared" si="2"/>
        <v>1.5961163395225824</v>
      </c>
      <c r="F15" s="3">
        <f t="shared" si="1"/>
        <v>0.83897631969967568</v>
      </c>
      <c r="G15" s="13">
        <f>(PRODUCT($D$5:D14)-PRODUCT($D$5:D15))*F15</f>
        <v>1.4860776775469085E-3</v>
      </c>
      <c r="H15" s="5"/>
      <c r="I15" s="5">
        <f>PRODUCT($D$5:D14)*F14</f>
        <v>0.84450579056789821</v>
      </c>
      <c r="J15" s="5"/>
      <c r="K15" s="8">
        <f>B1*(G4+K10/100+K11/100*I4)/((1-K12/100)*I4)</f>
        <v>102.78216505745942</v>
      </c>
      <c r="L15" s="8">
        <f>B1*(G4+K10/100+K11/100*L5)/(12*(1-K12/100)*L5)</f>
        <v>8.6408475598354819</v>
      </c>
      <c r="M15" s="5"/>
      <c r="N15" s="5"/>
      <c r="O15" s="8">
        <f>B1*(N4+K10/100+K11/100*I3)/((1-K12/100)*I4)</f>
        <v>145.22277701327144</v>
      </c>
      <c r="P15" s="5"/>
      <c r="Q15" s="5"/>
      <c r="R15" s="8">
        <f>B1*(G4+N4+K10/100+K11/100*I3)/((1-K12/100)*I4)</f>
        <v>209.47381659389626</v>
      </c>
    </row>
    <row r="16" spans="1:19" x14ac:dyDescent="0.25">
      <c r="A16" s="1">
        <v>41</v>
      </c>
      <c r="B16" s="1">
        <v>12</v>
      </c>
      <c r="C16" s="2">
        <f>'základné pravdepodobnosti 2021'!C46</f>
        <v>1.9609889240404178E-3</v>
      </c>
      <c r="D16" s="3">
        <f t="shared" si="0"/>
        <v>0.9980390110759596</v>
      </c>
      <c r="E16" s="34">
        <f t="shared" si="2"/>
        <v>1.6170965793544503</v>
      </c>
      <c r="F16" s="3">
        <f t="shared" si="1"/>
        <v>0.82361541324661947</v>
      </c>
      <c r="G16" s="13">
        <f>(PRODUCT($D$5:D15)-PRODUCT($D$5:D16))*F16</f>
        <v>1.5931891548219459E-3</v>
      </c>
      <c r="H16" s="5"/>
      <c r="I16" s="5">
        <f>PRODUCT($D$5:D15)*F15</f>
        <v>0.82759419965420922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2">
        <f>'základné pravdepodobnosti 2021'!C47</f>
        <v>2.1915353318650377E-3</v>
      </c>
      <c r="D17" s="3">
        <f t="shared" si="0"/>
        <v>0.997808464668135</v>
      </c>
      <c r="E17" s="34">
        <f t="shared" si="2"/>
        <v>1.6350249460437558</v>
      </c>
      <c r="F17" s="3">
        <f t="shared" si="1"/>
        <v>0.8085172673021418</v>
      </c>
      <c r="G17" s="13">
        <f>(PRODUCT($D$5:D16)-PRODUCT($D$5:D17))*F17</f>
        <v>1.7444279183011094E-3</v>
      </c>
      <c r="H17" s="5"/>
      <c r="I17" s="5">
        <f>PRODUCT($D$5:D16)*F16</f>
        <v>0.81084850048989032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2">
        <f>'základné pravdepodobnosti 2021'!C48</f>
        <v>2.50621450025804E-3</v>
      </c>
      <c r="D18" s="3">
        <f t="shared" si="0"/>
        <v>0.99749378549974199</v>
      </c>
      <c r="E18" s="34">
        <f t="shared" si="2"/>
        <v>1.6504747808374685</v>
      </c>
      <c r="F18" s="3">
        <f t="shared" si="1"/>
        <v>0.79368670846826372</v>
      </c>
      <c r="G18" s="13">
        <f>(PRODUCT($D$5:D17)-PRODUCT($D$5:D18))*F18</f>
        <v>1.9540234983336066E-3</v>
      </c>
      <c r="H18" s="5"/>
      <c r="I18" s="5">
        <f>PRODUCT($D$5:D17)*F17</f>
        <v>0.79423996390830043</v>
      </c>
      <c r="J18" s="5"/>
      <c r="K18" s="5">
        <v>0.16875175969666165</v>
      </c>
      <c r="L18" s="8">
        <f>B1*(K18+K10/100+K11/100*L5)/(12*(1-K12/100)*L5)</f>
        <v>8.4395192571263635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2">
        <f>'základné pravdepodobnosti 2021'!C49</f>
        <v>2.7492339648723255E-3</v>
      </c>
      <c r="D19" s="3">
        <f t="shared" si="0"/>
        <v>0.99725076603512763</v>
      </c>
      <c r="E19" s="34">
        <f t="shared" si="2"/>
        <v>1.6639030035353659</v>
      </c>
      <c r="F19" s="3">
        <f t="shared" si="1"/>
        <v>0.77912370145122234</v>
      </c>
      <c r="G19" s="13">
        <f>(PRODUCT($D$5:D18)-PRODUCT($D$5:D19))*F19</f>
        <v>2.098895187166808E-3</v>
      </c>
      <c r="H19" s="5"/>
      <c r="I19" s="5">
        <f>PRODUCT($D$5:D18)*F18</f>
        <v>0.7777172688560946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2">
        <f>'základné pravdepodobnosti 2021'!C50</f>
        <v>2.9586052969170283E-3</v>
      </c>
      <c r="D20" s="3">
        <f t="shared" si="0"/>
        <v>0.99704139470308295</v>
      </c>
      <c r="E20" s="34">
        <f t="shared" si="2"/>
        <v>1.6756703208435078</v>
      </c>
      <c r="F20" s="3">
        <f t="shared" si="1"/>
        <v>0.7648257481213705</v>
      </c>
      <c r="G20" s="13">
        <f>(PRODUCT($D$5:D19)-PRODUCT($D$5:D20))*F20</f>
        <v>2.2111924568790835E-3</v>
      </c>
      <c r="H20" s="5"/>
      <c r="I20" s="5">
        <f>PRODUCT($D$5:D19)*F19</f>
        <v>0.76134838284914519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2">
        <f>'základné pravdepodobnosti 2021'!C51</f>
        <v>3.3615550953189706E-3</v>
      </c>
      <c r="D21" s="3">
        <f t="shared" si="0"/>
        <v>0.99663844490468101</v>
      </c>
      <c r="E21" s="34">
        <f t="shared" si="2"/>
        <v>1.6860612728192013</v>
      </c>
      <c r="F21" s="3">
        <f t="shared" si="1"/>
        <v>0.75078915694250026</v>
      </c>
      <c r="G21" s="13">
        <f>(PRODUCT($D$5:D20)-PRODUCT($D$5:D21))*F21</f>
        <v>2.4589428127665468E-3</v>
      </c>
      <c r="H21" s="5"/>
      <c r="I21" s="5">
        <f>PRODUCT($D$5:D20)*F20</f>
        <v>0.74516543773545552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2">
        <f>'základné pravdepodobnosti 2021'!C52</f>
        <v>3.8236631832787478E-3</v>
      </c>
      <c r="D22" s="3">
        <f t="shared" si="0"/>
        <v>0.99617633681672124</v>
      </c>
      <c r="E22" s="34">
        <f t="shared" si="2"/>
        <v>1.6953013025443886</v>
      </c>
      <c r="F22" s="3">
        <f t="shared" si="1"/>
        <v>0.73700969333450017</v>
      </c>
      <c r="G22" s="13">
        <f>(PRODUCT($D$5:D21)-PRODUCT($D$5:D22))*F22</f>
        <v>2.7364068453850756E-3</v>
      </c>
      <c r="H22" s="5"/>
      <c r="I22" s="5">
        <f>PRODUCT($D$5:D21)*F21</f>
        <v>0.72903072284544368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2">
        <f>'základné pravdepodobnosti 2021'!C53</f>
        <v>4.3508081972202517E-3</v>
      </c>
      <c r="D23" s="3">
        <f t="shared" si="0"/>
        <v>0.99564919180277978</v>
      </c>
      <c r="E23" s="34">
        <f t="shared" si="2"/>
        <v>1.7035703276014111</v>
      </c>
      <c r="F23" s="3">
        <f t="shared" si="1"/>
        <v>0.72348290437906992</v>
      </c>
      <c r="G23" s="13">
        <f>(PRODUCT($D$5:D22)-PRODUCT($D$5:D23))*F23</f>
        <v>3.0448245435342526E-3</v>
      </c>
      <c r="H23" s="5"/>
      <c r="I23" s="5">
        <f>PRODUCT($D$5:D22)*F22</f>
        <v>0.71291419160471903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2">
        <f>'základné pravdepodobnosti 2021'!C54</f>
        <v>4.7802607156820949E-3</v>
      </c>
      <c r="D24" s="3">
        <f t="shared" si="0"/>
        <v>0.99521973928431795</v>
      </c>
      <c r="E24" s="34">
        <f t="shared" si="2"/>
        <v>1.7110131786357228</v>
      </c>
      <c r="F24" s="3">
        <f t="shared" si="1"/>
        <v>0.71020427736709346</v>
      </c>
      <c r="G24" s="13">
        <f>(PRODUCT($D$5:D23)-PRODUCT($D$5:D24))*F24</f>
        <v>3.2696801676898204E-3</v>
      </c>
      <c r="H24" s="5"/>
      <c r="I24" s="5">
        <f>PRODUCT($D$5:D23)*F23</f>
        <v>0.69678481756287658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2">
        <f>'základné pravdepodobnosti 2021'!C55</f>
        <v>5.3683226934888488E-3</v>
      </c>
      <c r="D25" s="3">
        <f t="shared" si="0"/>
        <v>0.99463167730651114</v>
      </c>
      <c r="E25" s="34">
        <f t="shared" si="2"/>
        <v>1.7177475107786024</v>
      </c>
      <c r="F25" s="3">
        <f t="shared" si="1"/>
        <v>0.69716931555957717</v>
      </c>
      <c r="G25" s="13">
        <f>(PRODUCT($D$5:D24)-PRODUCT($D$5:D25))*F25</f>
        <v>3.5872881674530884E-3</v>
      </c>
      <c r="H25" s="5"/>
      <c r="I25" s="5">
        <f>PRODUCT($D$5:D24)*F24</f>
        <v>0.68072652049211513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2">
        <f>'základné pravdepodobnosti 2021'!C56</f>
        <v>5.8385840569370583E-3</v>
      </c>
      <c r="D26" s="3">
        <f t="shared" si="0"/>
        <v>0.99416141594306295</v>
      </c>
      <c r="E26" s="34">
        <f t="shared" si="2"/>
        <v>1.7238697744849769</v>
      </c>
      <c r="F26" s="3">
        <f t="shared" si="1"/>
        <v>0.68437357348378747</v>
      </c>
      <c r="G26" s="13">
        <f>(PRODUCT($D$5:D25)-PRODUCT($D$5:D26))*F26</f>
        <v>3.8093637261940919E-3</v>
      </c>
      <c r="H26" s="5"/>
      <c r="I26" s="5">
        <f>PRODUCT($D$5:D25)*F25</f>
        <v>0.66464529997484079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2">
        <f>'základné pravdepodobnosti 2021'!C57</f>
        <v>6.3944107580785536E-3</v>
      </c>
      <c r="D27" s="3">
        <f t="shared" si="0"/>
        <v>0.99360558924192144</v>
      </c>
      <c r="E27" s="34">
        <f t="shared" si="2"/>
        <v>1.729459730818963</v>
      </c>
      <c r="F27" s="3">
        <f t="shared" si="1"/>
        <v>0.67181267276365608</v>
      </c>
      <c r="G27" s="13">
        <f>(PRODUCT($D$5:D26)-PRODUCT($D$5:D27))*F27</f>
        <v>4.071526821718483E-3</v>
      </c>
      <c r="H27" s="5"/>
      <c r="I27" s="5">
        <f>PRODUCT($D$5:D26)*F26</f>
        <v>0.64863713512450683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2">
        <f>'základné pravdepodobnosti 2021'!C58</f>
        <v>6.9856464825959509E-3</v>
      </c>
      <c r="D28" s="3">
        <f t="shared" si="0"/>
        <v>0.99301435351740408</v>
      </c>
      <c r="E28" s="34">
        <f t="shared" si="2"/>
        <v>1.7345838853523512</v>
      </c>
      <c r="F28" s="3">
        <f t="shared" si="1"/>
        <v>0.65948230871465552</v>
      </c>
      <c r="G28" s="13">
        <f>(PRODUCT($D$5:D27)-PRODUCT($D$5:D28))*F28</f>
        <v>4.3384276258152379E-3</v>
      </c>
      <c r="H28" s="5"/>
      <c r="I28" s="5">
        <f>PRODUCT($D$5:D27)*F27</f>
        <v>0.63266060937623003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2">
        <f>'základné pravdepodobnosti 2021'!C59</f>
        <v>7.9751758402779125E-3</v>
      </c>
      <c r="D29" s="3">
        <f t="shared" si="0"/>
        <v>0.99202482415972204</v>
      </c>
      <c r="E29" s="34">
        <f t="shared" si="2"/>
        <v>1.739298119763778</v>
      </c>
      <c r="F29" s="3">
        <f t="shared" si="1"/>
        <v>0.64737825261253013</v>
      </c>
      <c r="G29" s="13">
        <f>(PRODUCT($D$5:D28)-PRODUCT($D$5:D29))*F29</f>
        <v>4.8281027370194055E-3</v>
      </c>
      <c r="H29" s="5"/>
      <c r="I29" s="5">
        <f>PRODUCT($D$5:D28)*F28</f>
        <v>0.61671040967564805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2">
        <f>'základné pravdepodobnosti 2021'!C60</f>
        <v>8.9823729596385515E-3</v>
      </c>
      <c r="D30" s="3">
        <f t="shared" si="0"/>
        <v>0.99101762704036145</v>
      </c>
      <c r="E30" s="34">
        <f t="shared" si="2"/>
        <v>1.7436497261169506</v>
      </c>
      <c r="F30" s="3">
        <f t="shared" si="1"/>
        <v>0.63549635196226228</v>
      </c>
      <c r="G30" s="13">
        <f>(PRODUCT($D$5:D29)-PRODUCT($D$5:D30))*F30</f>
        <v>5.295473692347806E-3</v>
      </c>
      <c r="H30" s="5"/>
      <c r="I30" s="5">
        <f>PRODUCT($D$5:D29)*F29</f>
        <v>0.60056328094075517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2">
        <f>'základné pravdepodobnosti 2021'!C61</f>
        <v>9.8472600277920534E-3</v>
      </c>
      <c r="D31" s="3">
        <f t="shared" si="0"/>
        <v>0.99015273997220798</v>
      </c>
      <c r="E31" s="34">
        <f t="shared" si="2"/>
        <v>1.7476789935987398</v>
      </c>
      <c r="F31" s="3">
        <f t="shared" si="1"/>
        <v>0.62383252985779225</v>
      </c>
      <c r="G31" s="13">
        <f>(PRODUCT($D$5:D30)-PRODUCT($D$5:D31))*F31</f>
        <v>5.6476200600502156E-3</v>
      </c>
      <c r="H31" s="5"/>
      <c r="I31" s="5">
        <f>PRODUCT($D$5:D30)*F30</f>
        <v>0.58424514281762074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2">
        <f>'základné pravdepodobnosti 2021'!C62</f>
        <v>1.062509620253387E-2</v>
      </c>
      <c r="D32" s="3">
        <f t="shared" si="0"/>
        <v>0.98937490379746618</v>
      </c>
      <c r="E32" s="34">
        <f t="shared" si="2"/>
        <v>1.7514204572802101</v>
      </c>
      <c r="F32" s="3">
        <f t="shared" si="1"/>
        <v>0.61238278393887291</v>
      </c>
      <c r="G32" s="13">
        <f>(PRODUCT($D$5:D31)-PRODUCT($D$5:D32))*F32</f>
        <v>5.9229775429709445E-3</v>
      </c>
      <c r="H32" s="5"/>
      <c r="I32" s="5">
        <f>PRODUCT($D$5:D31)*F31</f>
        <v>0.56787435906011774</v>
      </c>
      <c r="J32" s="5"/>
      <c r="K32" s="5"/>
      <c r="L32" s="5"/>
      <c r="M32" s="5"/>
      <c r="N32" s="5"/>
      <c r="O32" s="5"/>
      <c r="P32" s="5"/>
      <c r="Q32" s="5"/>
      <c r="R32" s="5"/>
    </row>
    <row r="33" spans="1:40" x14ac:dyDescent="0.25">
      <c r="A33" s="1">
        <v>58</v>
      </c>
      <c r="B33" s="1">
        <v>29</v>
      </c>
      <c r="C33" s="2">
        <f>'základné pravdepodobnosti 2021'!C63</f>
        <v>1.1532022872793221E-2</v>
      </c>
      <c r="D33" s="3">
        <f t="shared" si="0"/>
        <v>0.9884679771272068</v>
      </c>
      <c r="E33" s="34">
        <f t="shared" si="2"/>
        <v>1.7549038894272715</v>
      </c>
      <c r="F33" s="3">
        <f t="shared" si="1"/>
        <v>0.60114318517818532</v>
      </c>
      <c r="G33" s="13">
        <f>(PRODUCT($D$5:D32)-PRODUCT($D$5:D33))*F33</f>
        <v>6.2435063172322641E-3</v>
      </c>
      <c r="H33" s="5"/>
      <c r="I33" s="5">
        <f>PRODUCT($D$5:D32)*F32</f>
        <v>0.55152868501783203</v>
      </c>
      <c r="J33" s="5"/>
      <c r="K33" s="5"/>
      <c r="L33" s="5"/>
      <c r="M33" s="5"/>
      <c r="N33" s="5"/>
      <c r="O33" s="5"/>
      <c r="P33" s="5"/>
      <c r="Q33" s="5"/>
      <c r="R33" s="5"/>
    </row>
    <row r="34" spans="1:40" x14ac:dyDescent="0.25">
      <c r="A34" s="1">
        <v>59</v>
      </c>
      <c r="B34" s="1">
        <v>30</v>
      </c>
      <c r="C34" s="2">
        <f>'základné pravdepodobnosti 2021'!C64</f>
        <v>1.282132401342323E-2</v>
      </c>
      <c r="D34" s="3">
        <f t="shared" si="0"/>
        <v>0.98717867598657683</v>
      </c>
      <c r="E34" s="34">
        <f t="shared" si="2"/>
        <v>1.7581550929571788</v>
      </c>
      <c r="F34" s="3">
        <f t="shared" si="1"/>
        <v>0.59010987660515313</v>
      </c>
      <c r="G34" s="13">
        <f>(PRODUCT($D$5:D33)-PRODUCT($D$5:D34))*F34</f>
        <v>6.7355566868813211E-3</v>
      </c>
      <c r="H34" s="5"/>
      <c r="I34" s="5">
        <f>PRODUCT($D$5:D33)*F33</f>
        <v>0.53516248863289717</v>
      </c>
      <c r="J34" s="5"/>
      <c r="K34" s="5"/>
      <c r="L34" s="5"/>
      <c r="M34" s="5"/>
      <c r="N34" s="5"/>
      <c r="O34" s="5"/>
      <c r="P34" s="5"/>
      <c r="Q34" s="5"/>
      <c r="R34" s="5"/>
    </row>
    <row r="35" spans="1:40" x14ac:dyDescent="0.25">
      <c r="A35" s="1">
        <v>60</v>
      </c>
      <c r="B35" s="1">
        <v>31</v>
      </c>
      <c r="C35" s="2">
        <f>'základné pravdepodobnosti 2021'!C65</f>
        <v>1.3993820694014239E-2</v>
      </c>
      <c r="D35" s="3">
        <f t="shared" si="0"/>
        <v>0.98600617930598577</v>
      </c>
      <c r="E35" s="34">
        <f t="shared" si="2"/>
        <v>1.7611965415041722</v>
      </c>
      <c r="F35" s="3">
        <f t="shared" si="1"/>
        <v>0.57927907201461937</v>
      </c>
      <c r="G35" s="13">
        <f>(PRODUCT($D$5:D34)-PRODUCT($D$5:D35))*F35</f>
        <v>7.1240612675751618E-3</v>
      </c>
      <c r="H35" s="5"/>
      <c r="I35" s="5">
        <f>PRODUCT($D$5:D34)*F34</f>
        <v>0.51860462501584847</v>
      </c>
      <c r="J35" s="5"/>
      <c r="K35" s="5"/>
      <c r="L35" s="5"/>
      <c r="M35" s="5"/>
      <c r="N35" s="5"/>
      <c r="O35" s="5"/>
      <c r="P35" s="5"/>
      <c r="Q35" s="5"/>
      <c r="R35" s="5"/>
    </row>
    <row r="36" spans="1:40" x14ac:dyDescent="0.25">
      <c r="A36" s="1">
        <v>61</v>
      </c>
      <c r="B36" s="1">
        <v>32</v>
      </c>
      <c r="C36" s="2">
        <f>'základné pravdepodobnosti 2021'!C66</f>
        <v>1.5789362132141549E-2</v>
      </c>
      <c r="D36" s="22">
        <f t="shared" si="0"/>
        <v>0.98421063786785845</v>
      </c>
      <c r="E36" s="34">
        <f t="shared" si="2"/>
        <v>1.764047899553145</v>
      </c>
      <c r="F36" s="3">
        <f t="shared" si="1"/>
        <v>0.56864705468192578</v>
      </c>
      <c r="G36" s="13">
        <f>(PRODUCT($D$5:D35)-PRODUCT($D$5:D36))*F36</f>
        <v>7.7801956487682867E-3</v>
      </c>
      <c r="H36" s="5"/>
      <c r="I36" s="5">
        <f>PRODUCT($D$5:D35)*F35</f>
        <v>0.50196215781070919</v>
      </c>
      <c r="J36" s="5"/>
      <c r="K36" s="5"/>
      <c r="L36" s="5"/>
      <c r="M36" s="5"/>
      <c r="N36" s="5"/>
      <c r="O36" s="5"/>
      <c r="P36" s="5"/>
      <c r="Q36" s="5"/>
      <c r="R36" s="5"/>
    </row>
    <row r="37" spans="1:40" x14ac:dyDescent="0.25">
      <c r="A37" s="1">
        <v>62</v>
      </c>
      <c r="B37" s="1">
        <v>33</v>
      </c>
      <c r="C37" s="2">
        <f>'základné pravdepodobnosti 2021'!C67</f>
        <v>1.7491725665991654E-2</v>
      </c>
      <c r="D37" s="22">
        <f t="shared" si="0"/>
        <v>0.98250827433400834</v>
      </c>
      <c r="E37" s="34">
        <f t="shared" si="2"/>
        <v>1.7667264480390308</v>
      </c>
      <c r="F37" s="3">
        <f t="shared" si="1"/>
        <v>0.55821017609384593</v>
      </c>
      <c r="G37" s="13">
        <f>(PRODUCT($D$5:D36)-PRODUCT($D$5:D37))*F37</f>
        <v>8.3272499456971145E-3</v>
      </c>
      <c r="H37" s="5"/>
      <c r="I37" s="5">
        <f>PRODUCT($D$5:D36)*F36</f>
        <v>0.48496901002880216</v>
      </c>
      <c r="J37" s="5"/>
      <c r="K37" s="5"/>
      <c r="L37" s="5"/>
      <c r="M37" s="5"/>
      <c r="N37" s="5"/>
      <c r="O37" s="5"/>
      <c r="P37" s="5"/>
      <c r="Q37" s="5"/>
      <c r="R37" s="5"/>
    </row>
    <row r="38" spans="1:40" x14ac:dyDescent="0.25">
      <c r="A38" s="1">
        <v>63</v>
      </c>
      <c r="B38" s="1">
        <v>34</v>
      </c>
      <c r="C38" s="2">
        <f>'základné pravdepodobnosti 2021'!C68</f>
        <v>1.921968630142732E-2</v>
      </c>
      <c r="D38" s="22">
        <f t="shared" si="0"/>
        <v>0.98078031369857266</v>
      </c>
      <c r="E38" s="34">
        <f t="shared" si="2"/>
        <v>1.7692474348560308</v>
      </c>
      <c r="F38" s="3">
        <f t="shared" si="1"/>
        <v>0.54796485469937128</v>
      </c>
      <c r="G38" s="13">
        <f>(PRODUCT($D$5:D37)-PRODUCT($D$5:D38))*F38</f>
        <v>8.8248312555724313E-3</v>
      </c>
      <c r="H38" s="5"/>
      <c r="I38" s="5">
        <f>PRODUCT($D$5:D37)*F37</f>
        <v>0.46774069810629926</v>
      </c>
      <c r="J38" s="5"/>
      <c r="K38" s="5"/>
      <c r="L38" s="5"/>
      <c r="M38" s="5"/>
      <c r="N38" s="5"/>
      <c r="O38" s="5"/>
      <c r="P38" s="5"/>
      <c r="Q38" s="5"/>
      <c r="R38" s="5"/>
    </row>
    <row r="39" spans="1:40" x14ac:dyDescent="0.25">
      <c r="A39" s="1">
        <v>64</v>
      </c>
      <c r="B39" s="1">
        <v>35</v>
      </c>
      <c r="C39" s="2">
        <f>'základné pravdepodobnosti 2021'!C69</f>
        <v>2.0487828410334794E-2</v>
      </c>
      <c r="D39" s="22">
        <f t="shared" si="0"/>
        <v>0.97951217158966519</v>
      </c>
      <c r="E39" s="34">
        <f t="shared" si="2"/>
        <v>1.771624365286401</v>
      </c>
      <c r="F39" s="3">
        <f t="shared" si="1"/>
        <v>0.53790757468189987</v>
      </c>
      <c r="G39" s="13">
        <f>(PRODUCT($D$5:D38)-PRODUCT($D$5:D39))*F39</f>
        <v>9.056966019762986E-3</v>
      </c>
      <c r="H39" s="5"/>
      <c r="I39" s="5">
        <f>PRODUCT($D$5:D38)*F38</f>
        <v>0.45033101120565644</v>
      </c>
      <c r="J39" s="5"/>
      <c r="K39" s="5"/>
      <c r="L39" s="5"/>
      <c r="M39" s="5"/>
      <c r="N39" s="5"/>
      <c r="O39" s="5"/>
      <c r="P39" s="5"/>
      <c r="Q39" s="5"/>
      <c r="R39" s="5"/>
    </row>
    <row r="40" spans="1:40" x14ac:dyDescent="0.25">
      <c r="A40" s="1">
        <v>65</v>
      </c>
      <c r="B40" s="1">
        <v>36</v>
      </c>
      <c r="C40" s="2">
        <f>'základné pravdepodobnosti 2021'!C70</f>
        <v>2.1782008215735317E-2</v>
      </c>
      <c r="D40" s="22">
        <f t="shared" si="0"/>
        <v>0.97821799178426472</v>
      </c>
      <c r="E40" s="34">
        <f t="shared" si="2"/>
        <v>1.7738692440274511</v>
      </c>
      <c r="F40" s="3">
        <f t="shared" si="1"/>
        <v>0.52803488475328464</v>
      </c>
      <c r="G40" s="13">
        <f>(PRODUCT($D$5:D39)-PRODUCT($D$5:D40))*F40</f>
        <v>9.2586895033071898E-3</v>
      </c>
      <c r="H40" s="5"/>
      <c r="I40" s="5">
        <f>PRODUCT($D$5:D39)*F39</f>
        <v>0.43300872480739744</v>
      </c>
      <c r="J40" s="5"/>
      <c r="K40" s="5"/>
      <c r="L40" s="5"/>
      <c r="M40" s="5"/>
      <c r="N40" s="5"/>
      <c r="O40" s="5"/>
      <c r="P40" s="5"/>
      <c r="Q40" s="5"/>
      <c r="R40" s="5"/>
    </row>
    <row r="41" spans="1:40" x14ac:dyDescent="0.25">
      <c r="A41" s="1">
        <v>66</v>
      </c>
      <c r="B41" s="1">
        <v>37</v>
      </c>
      <c r="C41" s="2">
        <f>'základné pravdepodobnosti 2021'!C71</f>
        <v>2.3345392397782359E-2</v>
      </c>
      <c r="D41" s="22">
        <f t="shared" si="0"/>
        <v>0.97665460760221767</v>
      </c>
      <c r="E41" s="34">
        <f t="shared" si="2"/>
        <v>1.775992777972228</v>
      </c>
      <c r="F41" s="3">
        <f t="shared" si="1"/>
        <v>0.51834339696971909</v>
      </c>
      <c r="G41" s="13">
        <f>(PRODUCT($D$5:D40)-PRODUCT($D$5:D41))*F41</f>
        <v>9.5289134460820792E-3</v>
      </c>
      <c r="H41" s="5"/>
      <c r="I41" s="5">
        <f>PRODUCT($D$5:D40)*F40</f>
        <v>0.4158026460542984</v>
      </c>
      <c r="J41" s="5"/>
      <c r="K41" s="5"/>
      <c r="L41" s="5"/>
      <c r="M41" s="5"/>
      <c r="N41" s="5"/>
      <c r="O41" s="5"/>
      <c r="P41" s="5"/>
      <c r="Q41" s="5"/>
      <c r="R41" s="5"/>
    </row>
    <row r="42" spans="1:40" x14ac:dyDescent="0.25">
      <c r="A42" s="1">
        <v>67</v>
      </c>
      <c r="B42" s="1">
        <v>38</v>
      </c>
      <c r="C42" s="2">
        <f>'základné pravdepodobnosti 2021'!C72</f>
        <v>2.5277617903692692E-2</v>
      </c>
      <c r="D42" s="22">
        <f t="shared" si="0"/>
        <v>0.97472238209630735</v>
      </c>
      <c r="E42" s="34">
        <f t="shared" si="2"/>
        <v>1.7780045469727752</v>
      </c>
      <c r="F42" s="3">
        <f t="shared" si="1"/>
        <v>0.50882978556922476</v>
      </c>
      <c r="G42" s="13">
        <f>(PRODUCT($D$5:D41)-PRODUCT($D$5:D42))*F42</f>
        <v>9.8917767795963125E-3</v>
      </c>
      <c r="H42" s="5"/>
      <c r="I42" s="5">
        <f>PRODUCT($D$5:D41)*F41</f>
        <v>0.39864214162632072</v>
      </c>
      <c r="J42" s="5"/>
      <c r="K42" s="5"/>
      <c r="L42" s="5"/>
      <c r="M42" s="5"/>
      <c r="N42" s="5"/>
      <c r="O42" s="5"/>
      <c r="P42" s="5"/>
      <c r="Q42" s="5"/>
      <c r="R42" s="5"/>
    </row>
    <row r="43" spans="1:40" x14ac:dyDescent="0.25">
      <c r="A43" s="1">
        <v>68</v>
      </c>
      <c r="B43" s="1">
        <v>39</v>
      </c>
      <c r="C43" s="2">
        <f>'základné pravdepodobnosti 2021'!C73</f>
        <v>2.8097097063730259E-2</v>
      </c>
      <c r="D43" s="22">
        <f t="shared" si="0"/>
        <v>0.9719029029362698</v>
      </c>
      <c r="E43" s="34">
        <f t="shared" si="2"/>
        <v>1.7799131483323691</v>
      </c>
      <c r="F43" s="3">
        <f t="shared" si="1"/>
        <v>0.49949078583041739</v>
      </c>
      <c r="G43" s="13">
        <f>(PRODUCT($D$5:D42)-PRODUCT($D$5:D43))*F43</f>
        <v>1.0520478868891009E-2</v>
      </c>
      <c r="H43" s="5"/>
      <c r="I43" s="5">
        <f>PRODUCT($D$5:D42)*F42</f>
        <v>0.38143373566717842</v>
      </c>
      <c r="J43" s="5"/>
      <c r="K43" s="5"/>
      <c r="L43" s="5"/>
      <c r="M43" s="5"/>
      <c r="N43" s="5"/>
      <c r="O43" s="5"/>
      <c r="P43" s="5"/>
      <c r="Q43" s="5"/>
      <c r="R43" s="5"/>
    </row>
    <row r="44" spans="1:40" x14ac:dyDescent="0.25">
      <c r="A44" s="231">
        <v>69</v>
      </c>
      <c r="B44" s="231">
        <v>40</v>
      </c>
      <c r="C44" s="232">
        <f>'základné pravdepodobnosti 2021'!C74</f>
        <v>3.1015541214860165E-2</v>
      </c>
      <c r="D44" s="233">
        <f t="shared" si="0"/>
        <v>0.96898445878513983</v>
      </c>
      <c r="E44" s="234">
        <f t="shared" si="2"/>
        <v>1.7817263196240263</v>
      </c>
      <c r="F44" s="235">
        <f>EXP(-(E44/100)*B44)</f>
        <v>0.4903231929521964</v>
      </c>
      <c r="G44" s="236">
        <f>(PRODUCT($D$5:D43)-PRODUCT($D$5:D44))*F44</f>
        <v>1.1079783010425446E-2</v>
      </c>
      <c r="H44" s="236"/>
      <c r="I44" s="236">
        <f>PRODUCT($D$5:D43)*F43</f>
        <v>0.36391246859996468</v>
      </c>
      <c r="J44" s="236"/>
      <c r="K44" s="236"/>
      <c r="L44" s="236"/>
      <c r="M44" s="236"/>
      <c r="N44" s="236"/>
      <c r="O44" s="236"/>
      <c r="P44" s="236"/>
      <c r="Q44" s="236"/>
      <c r="R44" s="236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</row>
    <row r="45" spans="1:40" x14ac:dyDescent="0.25">
      <c r="A45" s="1">
        <v>70</v>
      </c>
      <c r="B45" s="1">
        <v>41</v>
      </c>
      <c r="C45" s="2"/>
      <c r="D45" s="22"/>
      <c r="E45" s="34">
        <f t="shared" si="2"/>
        <v>1.783451043535621</v>
      </c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40" x14ac:dyDescent="0.25">
      <c r="A46" s="21">
        <v>71</v>
      </c>
      <c r="B46" s="1">
        <v>42</v>
      </c>
      <c r="C46" s="20"/>
      <c r="D46" s="22"/>
      <c r="E46" s="34">
        <f t="shared" si="2"/>
        <v>1.7850936377371478</v>
      </c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40" x14ac:dyDescent="0.25">
      <c r="A47" s="21">
        <v>72</v>
      </c>
      <c r="B47" s="1">
        <v>43</v>
      </c>
      <c r="C47" s="20"/>
      <c r="D47" s="22"/>
      <c r="E47" s="34">
        <f t="shared" si="2"/>
        <v>1.786659832208374</v>
      </c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40" x14ac:dyDescent="0.25">
      <c r="A48" s="1">
        <v>73</v>
      </c>
      <c r="B48" s="1">
        <v>44</v>
      </c>
      <c r="C48" s="20"/>
      <c r="D48" s="22"/>
      <c r="E48" s="34">
        <f t="shared" si="2"/>
        <v>1.7881548360218189</v>
      </c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>
        <v>74</v>
      </c>
      <c r="B49" s="1">
        <v>45</v>
      </c>
      <c r="C49" s="20"/>
      <c r="D49" s="22"/>
      <c r="E49" s="34">
        <f t="shared" si="2"/>
        <v>1.7895833952213334</v>
      </c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>
        <v>75</v>
      </c>
      <c r="B50" s="1">
        <v>46</v>
      </c>
      <c r="C50" s="20"/>
      <c r="D50" s="22"/>
      <c r="E50" s="34">
        <f t="shared" si="2"/>
        <v>1.7909498431513047</v>
      </c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">
        <v>76</v>
      </c>
      <c r="B51" s="1">
        <v>47</v>
      </c>
      <c r="C51" s="20"/>
      <c r="D51" s="22"/>
      <c r="E51" s="34">
        <f t="shared" si="2"/>
        <v>1.7922581443608512</v>
      </c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>
        <v>77</v>
      </c>
      <c r="B52" s="1">
        <v>48</v>
      </c>
      <c r="C52" s="20"/>
      <c r="D52" s="22"/>
      <c r="E52" s="34">
        <f t="shared" si="2"/>
        <v>1.7935119330200002</v>
      </c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>
        <v>78</v>
      </c>
      <c r="B53" s="1">
        <v>49</v>
      </c>
      <c r="C53" s="20"/>
      <c r="D53" s="22"/>
      <c r="E53" s="34">
        <f t="shared" si="2"/>
        <v>1.7947145466318366</v>
      </c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">
        <v>79</v>
      </c>
      <c r="B54" s="1">
        <v>50</v>
      </c>
      <c r="C54" s="20"/>
      <c r="D54" s="22"/>
      <c r="E54" s="34">
        <f t="shared" si="2"/>
        <v>1.7958690556992001</v>
      </c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>
        <v>80</v>
      </c>
      <c r="B55" s="1">
        <v>51</v>
      </c>
      <c r="C55" s="20"/>
      <c r="D55" s="22"/>
      <c r="E55" s="34">
        <f t="shared" si="2"/>
        <v>1.7969782899011766</v>
      </c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>
        <v>81</v>
      </c>
      <c r="B56" s="1">
        <v>52</v>
      </c>
      <c r="C56" s="20"/>
      <c r="D56" s="22"/>
      <c r="E56" s="34">
        <f t="shared" si="2"/>
        <v>1.798044861249231</v>
      </c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">
        <v>82</v>
      </c>
      <c r="B57" s="1">
        <v>53</v>
      </c>
      <c r="C57" s="20"/>
      <c r="D57" s="22"/>
      <c r="E57" s="34">
        <f t="shared" si="2"/>
        <v>1.7990711846218872</v>
      </c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>
        <v>83</v>
      </c>
      <c r="B58" s="1">
        <v>54</v>
      </c>
      <c r="C58" s="20"/>
      <c r="D58" s="22"/>
      <c r="E58" s="34">
        <f t="shared" si="2"/>
        <v>1.800059496017778</v>
      </c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>
        <v>84</v>
      </c>
      <c r="B59" s="1">
        <v>55</v>
      </c>
      <c r="C59" s="20"/>
      <c r="D59" s="22"/>
      <c r="E59" s="34">
        <f t="shared" si="2"/>
        <v>1.8010118688174548</v>
      </c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1">
        <v>85</v>
      </c>
      <c r="B60" s="1">
        <v>56</v>
      </c>
      <c r="C60" s="20"/>
      <c r="D60" s="22"/>
      <c r="E60" s="34">
        <f t="shared" si="2"/>
        <v>1.8019302283028573</v>
      </c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>
        <v>86</v>
      </c>
      <c r="B61" s="1">
        <v>57</v>
      </c>
      <c r="C61" s="20"/>
      <c r="D61" s="22"/>
      <c r="E61" s="34">
        <f t="shared" si="2"/>
        <v>1.8028163646484212</v>
      </c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>
        <v>87</v>
      </c>
      <c r="B62" s="1">
        <v>58</v>
      </c>
      <c r="C62" s="20"/>
      <c r="D62" s="22"/>
      <c r="E62" s="34">
        <f t="shared" si="2"/>
        <v>1.8036719445682761</v>
      </c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">
        <v>88</v>
      </c>
      <c r="B63" s="1">
        <v>59</v>
      </c>
      <c r="C63" s="20"/>
      <c r="D63" s="22"/>
      <c r="E63" s="34">
        <f t="shared" si="2"/>
        <v>1.8044985217789833</v>
      </c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>
        <v>89</v>
      </c>
      <c r="B64" s="1">
        <v>60</v>
      </c>
      <c r="C64" s="20"/>
      <c r="D64" s="22"/>
      <c r="E64" s="34">
        <f t="shared" si="2"/>
        <v>1.8052975464160002</v>
      </c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>
        <v>90</v>
      </c>
      <c r="B65" s="1">
        <v>61</v>
      </c>
      <c r="C65" s="20"/>
      <c r="D65" s="22"/>
      <c r="E65" s="34">
        <f t="shared" si="2"/>
        <v>1.8060703735239345</v>
      </c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1">
        <v>91</v>
      </c>
      <c r="B66" s="1">
        <v>62</v>
      </c>
      <c r="C66" s="20"/>
      <c r="D66" s="22"/>
      <c r="E66" s="34">
        <f t="shared" si="2"/>
        <v>1.8068182707251612</v>
      </c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>
        <v>92</v>
      </c>
      <c r="B67" s="1">
        <v>63</v>
      </c>
      <c r="C67" s="20"/>
      <c r="D67" s="22"/>
      <c r="E67" s="34">
        <f t="shared" si="2"/>
        <v>1.8075424251580954</v>
      </c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>
        <v>93</v>
      </c>
      <c r="B68" s="1">
        <v>64</v>
      </c>
      <c r="C68" s="20"/>
      <c r="D68" s="22"/>
      <c r="E68" s="34">
        <f t="shared" si="2"/>
        <v>1.808243949765</v>
      </c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">
        <v>94</v>
      </c>
      <c r="B69" s="1">
        <v>65</v>
      </c>
      <c r="C69" s="20"/>
      <c r="D69" s="22"/>
      <c r="E69" s="34">
        <f t="shared" si="2"/>
        <v>1.8089238889993846</v>
      </c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>
        <v>95</v>
      </c>
      <c r="B70" s="1">
        <v>66</v>
      </c>
      <c r="C70" s="20"/>
      <c r="D70" s="22"/>
      <c r="E70" s="34">
        <f t="shared" si="2"/>
        <v>1.8095832240145455</v>
      </c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>
        <v>96</v>
      </c>
      <c r="B71" s="1">
        <v>67</v>
      </c>
      <c r="C71" s="20"/>
      <c r="D71" s="22"/>
      <c r="E71" s="34">
        <f t="shared" ref="E71:E80" si="3">$F$2+$G$2*(1-EXP(-B71/$J$2))/(B71/$J$2)+$H$2*((1-EXP(-B71/$J$2))/(B71/$J$2)-EXP(-B71/$J$2))+$I$2*((1-EXP(-B71/$K$2))/(B71/$K$2)-EXP(-B71/$K$2))</f>
        <v>1.8102228773874629</v>
      </c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1">
        <v>97</v>
      </c>
      <c r="B72" s="1">
        <v>68</v>
      </c>
      <c r="C72" s="20"/>
      <c r="D72" s="22"/>
      <c r="E72" s="34">
        <f t="shared" si="3"/>
        <v>1.8108437174258822</v>
      </c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>
        <v>98</v>
      </c>
      <c r="B73" s="1">
        <v>69</v>
      </c>
      <c r="C73" s="20"/>
      <c r="D73" s="22"/>
      <c r="E73" s="34">
        <f t="shared" si="3"/>
        <v>1.8114465621008697</v>
      </c>
      <c r="F73" s="22"/>
    </row>
    <row r="74" spans="1:18" x14ac:dyDescent="0.25">
      <c r="A74" s="21">
        <v>99</v>
      </c>
      <c r="B74" s="1">
        <v>70</v>
      </c>
      <c r="C74" s="20"/>
      <c r="D74" s="22"/>
      <c r="E74" s="34">
        <f t="shared" si="3"/>
        <v>1.8120321826422856</v>
      </c>
      <c r="F74" s="22"/>
    </row>
    <row r="75" spans="1:18" x14ac:dyDescent="0.25">
      <c r="A75" s="1">
        <v>100</v>
      </c>
      <c r="B75" s="1">
        <v>71</v>
      </c>
      <c r="C75" s="20"/>
      <c r="D75" s="22"/>
      <c r="E75" s="34">
        <f t="shared" si="3"/>
        <v>1.8126013068304223</v>
      </c>
      <c r="F75" s="22"/>
    </row>
    <row r="76" spans="1:18" x14ac:dyDescent="0.25">
      <c r="A76" s="21">
        <v>101</v>
      </c>
      <c r="B76" s="1">
        <v>72</v>
      </c>
      <c r="C76" s="20"/>
      <c r="D76" s="22"/>
      <c r="E76" s="34">
        <f t="shared" si="3"/>
        <v>1.8131546220133332</v>
      </c>
      <c r="F76" s="22"/>
    </row>
    <row r="77" spans="1:18" x14ac:dyDescent="0.25">
      <c r="A77" s="21">
        <v>102</v>
      </c>
      <c r="B77" s="1">
        <v>73</v>
      </c>
      <c r="C77" s="20"/>
      <c r="D77" s="22"/>
      <c r="E77" s="34">
        <f t="shared" si="3"/>
        <v>1.8136927778761645</v>
      </c>
      <c r="F77" s="22"/>
    </row>
    <row r="78" spans="1:18" x14ac:dyDescent="0.25">
      <c r="A78" s="1">
        <v>103</v>
      </c>
      <c r="B78" s="1">
        <v>74</v>
      </c>
      <c r="C78" s="20"/>
      <c r="D78" s="22"/>
      <c r="E78" s="34">
        <f t="shared" si="3"/>
        <v>1.8142163889859464</v>
      </c>
      <c r="F78" s="22"/>
    </row>
    <row r="79" spans="1:18" x14ac:dyDescent="0.25">
      <c r="A79" s="21">
        <v>104</v>
      </c>
      <c r="B79" s="1">
        <v>75</v>
      </c>
      <c r="C79" s="20"/>
      <c r="D79" s="22"/>
      <c r="E79" s="34">
        <f t="shared" si="3"/>
        <v>1.8147260371328002</v>
      </c>
      <c r="F79" s="22"/>
    </row>
    <row r="80" spans="1:18" x14ac:dyDescent="0.25">
      <c r="A80" s="21">
        <v>105</v>
      </c>
      <c r="B80" s="1">
        <v>76</v>
      </c>
      <c r="C80" s="20"/>
      <c r="D80" s="22"/>
      <c r="E80" s="34">
        <f t="shared" si="3"/>
        <v>1.8152222734863157</v>
      </c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zoomScale="180" zoomScaleNormal="180" workbookViewId="0">
      <selection activeCell="K2" sqref="K2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35">
      <c r="D2" s="37"/>
      <c r="F2">
        <f>'základné pravdepodobnosti 2021'!E3</f>
        <v>1.8524400000000001</v>
      </c>
      <c r="G2">
        <f>'základné pravdepodobnosti 2021'!F3</f>
        <v>-2.5452140000000001</v>
      </c>
      <c r="H2" s="19">
        <f>'základné pravdepodobnosti 2021'!G3</f>
        <v>26.050540999999999</v>
      </c>
      <c r="I2" s="39">
        <f>'základné pravdepodobnosti 2021'!H3</f>
        <v>-24.729244999999999</v>
      </c>
      <c r="J2" s="19">
        <f>'základné pravdepodobnosti 2021'!I3</f>
        <v>1.1056299999999999</v>
      </c>
      <c r="K2" s="19">
        <f>'základné pravdepodobnosti 2021'!J3</f>
        <v>1.1652899999999999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0.11690569178051498</v>
      </c>
      <c r="H4" s="70"/>
      <c r="I4" s="5">
        <f>SUM(I5:I44)</f>
        <v>28.164287779320574</v>
      </c>
      <c r="J4" s="5"/>
      <c r="K4" s="5"/>
      <c r="L4" s="5"/>
      <c r="M4" s="7"/>
      <c r="N4" s="7">
        <f>PRODUCT(D5:D44)*F44</f>
        <v>0.39334104234971301</v>
      </c>
      <c r="O4" s="7">
        <f>N4/(12*L5)</f>
        <v>1.1754336613003038E-3</v>
      </c>
      <c r="P4" s="8">
        <f>B1*N4</f>
        <v>3933.4104234971301</v>
      </c>
      <c r="Q4" s="8">
        <f>P4/I4</f>
        <v>139.65950264097245</v>
      </c>
      <c r="R4" s="8">
        <f>P4/(12*L5)</f>
        <v>11.754336613003039</v>
      </c>
      <c r="S4" s="36">
        <f>B1*(N4+K10/100+K11/100*L5)/(12*(1-K12/100)*L5)</f>
        <v>15.065827603414743</v>
      </c>
    </row>
    <row r="5" spans="1:19" ht="21" customHeight="1" x14ac:dyDescent="0.25">
      <c r="A5" s="1">
        <v>30</v>
      </c>
      <c r="B5" s="1">
        <v>1</v>
      </c>
      <c r="C5" s="65">
        <v>6.351877757641227E-4</v>
      </c>
      <c r="D5" s="3">
        <f>1-C5</f>
        <v>0.9993648122242359</v>
      </c>
      <c r="E5" s="34">
        <f>$F$2+$G$2*(1-EXP(-B5/$J$2))/(B5/$J$2)+$H$2*((1-EXP(-B5/$J$2))/(B5/$J$2)-EXP(-B5/$J$2))+$I$2*((1-EXP(-B5/$K$2))/(B5/$K$2)-EXP(-B5/$K$2))</f>
        <v>0.66117366475260209</v>
      </c>
      <c r="F5" s="3">
        <f>EXP(-(E5/100)*B5)</f>
        <v>0.99341007279066318</v>
      </c>
      <c r="G5" s="51">
        <f>C5*F5</f>
        <v>6.3100193455757657E-4</v>
      </c>
      <c r="H5" s="11">
        <f>B1*G4</f>
        <v>1169.0569178051499</v>
      </c>
      <c r="I5" s="5">
        <f>1</f>
        <v>1</v>
      </c>
      <c r="J5" s="24">
        <f>B1*G4/I4</f>
        <v>41.508485034850466</v>
      </c>
      <c r="K5" s="26">
        <f>PRODUCT(D5:D44)*F44</f>
        <v>0.39334104234971301</v>
      </c>
      <c r="L5" s="25">
        <f>I4-11/24*(1-K5)</f>
        <v>27.886235757064192</v>
      </c>
      <c r="M5" s="8">
        <f>B1*G4/(12*L5)</f>
        <v>3.4935303088519878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65">
        <v>6.4575519800419109E-4</v>
      </c>
      <c r="D6" s="3">
        <f t="shared" ref="D6:D44" si="0">1-C6</f>
        <v>0.99935424480199586</v>
      </c>
      <c r="E6" s="34">
        <f>$F$2+$G$2*(1-EXP(-B6/$J$2))/(B6/$J$2)+$H$2*((1-EXP(-B6/$J$2))/(B6/$J$2)-EXP(-B6/$J$2))+$I$2*((1-EXP(-B6/$K$2))/(B6/$K$2)-EXP(-B6/$K$2))</f>
        <v>1.0755904258034521</v>
      </c>
      <c r="F6" s="3">
        <f t="shared" ref="F6:F43" si="1">EXP(-(E6/100)*B6)</f>
        <v>0.97871792019462289</v>
      </c>
      <c r="G6" s="12">
        <f>(D5-PRODUCT(D5:D6))*F6</f>
        <v>6.3161073793188043E-4</v>
      </c>
      <c r="H6" s="5"/>
      <c r="I6" s="13">
        <f>D5*F5</f>
        <v>0.99277907085610562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65">
        <v>7.0733642614240026E-4</v>
      </c>
      <c r="D7" s="3">
        <f t="shared" si="0"/>
        <v>0.9992926635738576</v>
      </c>
      <c r="E7" s="34">
        <f t="shared" ref="E7:E44" si="2">$F$2+$G$2*(1-EXP(-B7/$J$2))/(B7/$J$2)+$H$2*((1-EXP(-B7/$J$2))/(B7/$J$2)-EXP(-B7/$J$2))+$I$2*((1-EXP(-B7/$K$2))/(B7/$K$2)-EXP(-B7/$K$2))</f>
        <v>1.2238097787174036</v>
      </c>
      <c r="F7" s="3">
        <f t="shared" si="1"/>
        <v>0.96395150335362567</v>
      </c>
      <c r="G7" s="13">
        <f>(PRODUCT($D$5:D6)-PRODUCT($D$5:D7))*F7</f>
        <v>6.8096489542028126E-4</v>
      </c>
      <c r="H7" s="5"/>
      <c r="I7" s="35">
        <f>PRODUCT($D$5:D6)*F6</f>
        <v>0.97746463979786213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65">
        <v>7.0995550128589362E-4</v>
      </c>
      <c r="D8" s="3">
        <f t="shared" si="0"/>
        <v>0.99929004449871406</v>
      </c>
      <c r="E8" s="34">
        <f t="shared" si="2"/>
        <v>1.3032306860947243</v>
      </c>
      <c r="F8" s="3">
        <f t="shared" si="1"/>
        <v>0.94920619542653994</v>
      </c>
      <c r="G8" s="13">
        <f>(PRODUCT($D$5:D7)-PRODUCT($D$5:D8))*F8</f>
        <v>6.7255515722765193E-4</v>
      </c>
      <c r="H8" s="5"/>
      <c r="I8" s="5">
        <f>PRODUCT($D$5:D7)*F7</f>
        <v>0.96203616694251792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65">
        <v>7.594134502938465E-4</v>
      </c>
      <c r="D9" s="3">
        <f t="shared" si="0"/>
        <v>0.99924058654970616</v>
      </c>
      <c r="E9" s="34">
        <f t="shared" si="2"/>
        <v>1.3648269565488462</v>
      </c>
      <c r="F9" s="3">
        <f t="shared" si="1"/>
        <v>0.93403501904922503</v>
      </c>
      <c r="G9" s="13">
        <f>(PRODUCT($D$5:D8)-PRODUCT($D$5:D9))*F9</f>
        <v>7.0740678191436046E-4</v>
      </c>
      <c r="H9" s="5"/>
      <c r="I9" s="5">
        <f>PRODUCT($D$5:D8)*F8</f>
        <v>0.94664760224621203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65">
        <v>8.279802028143497E-4</v>
      </c>
      <c r="D10" s="3">
        <f t="shared" si="0"/>
        <v>0.99917201979718562</v>
      </c>
      <c r="E10" s="34">
        <f t="shared" si="2"/>
        <v>1.4188689521821152</v>
      </c>
      <c r="F10" s="3">
        <f t="shared" si="1"/>
        <v>0.91839092284183621</v>
      </c>
      <c r="G10" s="13">
        <f>(PRODUCT($D$5:D9)-PRODUCT($D$5:D10))*F10</f>
        <v>7.5778390378851944E-4</v>
      </c>
      <c r="H10" s="5"/>
      <c r="I10" s="5">
        <f>PRODUCT($D$5:D9)*F9</f>
        <v>0.93080991311886285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65">
        <v>9.3958852840120614E-4</v>
      </c>
      <c r="D11" s="3">
        <f t="shared" si="0"/>
        <v>0.99906041147159874</v>
      </c>
      <c r="E11" s="34">
        <f t="shared" si="2"/>
        <v>1.4663850609980162</v>
      </c>
      <c r="F11" s="3">
        <f t="shared" si="1"/>
        <v>0.9024455217852978</v>
      </c>
      <c r="G11" s="13">
        <f>(PRODUCT($D$5:D10)-PRODUCT($D$5:D11))*F11</f>
        <v>8.44300029462944E-4</v>
      </c>
      <c r="H11" s="5"/>
      <c r="I11" s="5">
        <f>PRODUCT($D$5:D10)*F10</f>
        <v>0.91446205011242421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65">
        <v>1.0319366344008537E-3</v>
      </c>
      <c r="D12" s="3">
        <f t="shared" si="0"/>
        <v>0.99896806336559918</v>
      </c>
      <c r="E12" s="34">
        <f t="shared" si="2"/>
        <v>1.507326045432928</v>
      </c>
      <c r="F12" s="3">
        <f t="shared" si="1"/>
        <v>0.88640077946015683</v>
      </c>
      <c r="G12" s="13">
        <f>(PRODUCT($D$5:D11)-PRODUCT($D$5:D12))*F12</f>
        <v>9.0994053997039102E-4</v>
      </c>
      <c r="H12" s="5"/>
      <c r="I12" s="5">
        <f>PRODUCT($D$5:D11)*F11</f>
        <v>0.8977405633889699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65">
        <v>1.0464696879975339E-3</v>
      </c>
      <c r="D13" s="3">
        <f t="shared" si="0"/>
        <v>0.99895353031200251</v>
      </c>
      <c r="E13" s="34">
        <f t="shared" si="2"/>
        <v>1.5420743012469824</v>
      </c>
      <c r="F13" s="3">
        <f t="shared" si="1"/>
        <v>0.87041367911215639</v>
      </c>
      <c r="G13" s="13">
        <f>(PRODUCT($D$5:D12)-PRODUCT($D$5:D13))*F13</f>
        <v>9.0517764451539067E-4</v>
      </c>
      <c r="H13" s="5"/>
      <c r="I13" s="5">
        <f>PRODUCT($D$5:D12)*F12</f>
        <v>0.88086953083104846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65">
        <v>1.0284638099251429E-3</v>
      </c>
      <c r="D14" s="3">
        <f t="shared" si="0"/>
        <v>0.99897153619007484</v>
      </c>
      <c r="E14" s="34">
        <f t="shared" si="2"/>
        <v>1.5713819111685488</v>
      </c>
      <c r="F14" s="3">
        <f t="shared" si="1"/>
        <v>0.8545859544698905</v>
      </c>
      <c r="G14" s="13">
        <f>(PRODUCT($D$5:D13)-PRODUCT($D$5:D14))*F14</f>
        <v>8.7251220279307865E-4</v>
      </c>
      <c r="H14" s="5"/>
      <c r="I14" s="5">
        <f>PRODUCT($D$5:D13)*F13</f>
        <v>0.86407701428835582</v>
      </c>
      <c r="J14" s="5"/>
      <c r="K14" s="29" t="s">
        <v>7</v>
      </c>
      <c r="L14" s="30" t="s">
        <v>8</v>
      </c>
      <c r="M14" s="5"/>
      <c r="N14" s="5"/>
      <c r="O14" s="29" t="s">
        <v>22</v>
      </c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65">
        <v>1.0709044775518422E-3</v>
      </c>
      <c r="D15" s="3">
        <f t="shared" si="0"/>
        <v>0.99892909552244813</v>
      </c>
      <c r="E15" s="34">
        <f t="shared" si="2"/>
        <v>1.5961163395225824</v>
      </c>
      <c r="F15" s="3">
        <f t="shared" si="1"/>
        <v>0.83897631969967568</v>
      </c>
      <c r="G15" s="13">
        <f>(PRODUCT($D$5:D14)-PRODUCT($D$5:D15))*F15</f>
        <v>8.9100531796597478E-4</v>
      </c>
      <c r="H15" s="5"/>
      <c r="I15" s="5">
        <f>PRODUCT($D$5:D14)*F14</f>
        <v>0.8474920042468137</v>
      </c>
      <c r="J15" s="5"/>
      <c r="K15" s="8">
        <f>B1*(G4+K10/100+K11/100*I4)/((1-K12/100)*I4)</f>
        <v>80.062084543108639</v>
      </c>
      <c r="L15" s="8">
        <f>B1*(G4+K10/100+K11/100*L5)/(12*(1-K12/100)*L5)</f>
        <v>6.7215788113429733</v>
      </c>
      <c r="M15" s="5"/>
      <c r="N15" s="5"/>
      <c r="O15" s="8">
        <f>B1*(N4+K10/100+K11/100*I3)/((1-K12/100)*I4)</f>
        <v>159.0025063674743</v>
      </c>
      <c r="P15" s="5"/>
      <c r="Q15" s="5"/>
      <c r="R15" s="8">
        <f>B1*(G4+N4+K10/100+K11/100*I3)/((1-K12/100)*I4)</f>
        <v>200.93026902893945</v>
      </c>
    </row>
    <row r="16" spans="1:19" x14ac:dyDescent="0.25">
      <c r="A16" s="1">
        <v>41</v>
      </c>
      <c r="B16" s="1">
        <v>12</v>
      </c>
      <c r="C16" s="65">
        <v>1.2274063642613777E-3</v>
      </c>
      <c r="D16" s="3">
        <f t="shared" si="0"/>
        <v>0.99877259363573867</v>
      </c>
      <c r="E16" s="34">
        <f t="shared" si="2"/>
        <v>1.6170965793544503</v>
      </c>
      <c r="F16" s="3">
        <f t="shared" si="1"/>
        <v>0.82361541324661947</v>
      </c>
      <c r="G16" s="13">
        <f>(PRODUCT($D$5:D15)-PRODUCT($D$5:D16))*F16</f>
        <v>1.0014455889737733E-3</v>
      </c>
      <c r="H16" s="5"/>
      <c r="I16" s="5">
        <f>PRODUCT($D$5:D15)*F15</f>
        <v>0.83112094032529127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65">
        <v>1.4161826546013117E-3</v>
      </c>
      <c r="D17" s="3">
        <f t="shared" si="0"/>
        <v>0.99858381734539869</v>
      </c>
      <c r="E17" s="34">
        <f t="shared" si="2"/>
        <v>1.6350249460437558</v>
      </c>
      <c r="F17" s="3">
        <f t="shared" si="1"/>
        <v>0.8085172673021418</v>
      </c>
      <c r="G17" s="13">
        <f>(PRODUCT($D$5:D16)-PRODUCT($D$5:D17))*F17</f>
        <v>1.132895127079036E-3</v>
      </c>
      <c r="H17" s="5"/>
      <c r="I17" s="5">
        <f>PRODUCT($D$5:D16)*F16</f>
        <v>0.81490241325768531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65">
        <v>1.5622393001174472E-3</v>
      </c>
      <c r="D18" s="3">
        <f t="shared" si="0"/>
        <v>0.99843776069988255</v>
      </c>
      <c r="E18" s="34">
        <f t="shared" si="2"/>
        <v>1.6504747808374685</v>
      </c>
      <c r="F18" s="3">
        <f t="shared" si="1"/>
        <v>0.79368670846826372</v>
      </c>
      <c r="G18" s="13">
        <f>(PRODUCT($D$5:D17)-PRODUCT($D$5:D18))*F18</f>
        <v>1.2250740159493846E-3</v>
      </c>
      <c r="H18" s="5"/>
      <c r="I18" s="5">
        <f>PRODUCT($D$5:D17)*F17</f>
        <v>0.79883109496854798</v>
      </c>
      <c r="J18" s="5"/>
      <c r="K18" s="5">
        <v>0.16875175969666165</v>
      </c>
      <c r="L18" s="8">
        <f>B1*(K18+K10/100+K11/100*L5)/(12*(1-K12/100)*L5)</f>
        <v>8.28656132422417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65">
        <v>1.7069170953454866E-3</v>
      </c>
      <c r="D19" s="3">
        <f t="shared" si="0"/>
        <v>0.99829308290465446</v>
      </c>
      <c r="E19" s="34">
        <f t="shared" si="2"/>
        <v>1.6639030035353659</v>
      </c>
      <c r="F19" s="3">
        <f t="shared" si="1"/>
        <v>0.77912370145122234</v>
      </c>
      <c r="G19" s="13">
        <f>(PRODUCT($D$5:D18)-PRODUCT($D$5:D19))*F19</f>
        <v>1.3119144146567033E-3</v>
      </c>
      <c r="H19" s="5"/>
      <c r="I19" s="5">
        <f>PRODUCT($D$5:D18)*F18</f>
        <v>0.78295313469848837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65">
        <v>1.79244123660696E-3</v>
      </c>
      <c r="D20" s="3">
        <f t="shared" si="0"/>
        <v>0.99820755876339307</v>
      </c>
      <c r="E20" s="34">
        <f t="shared" si="2"/>
        <v>1.6756703208435078</v>
      </c>
      <c r="F20" s="3">
        <f t="shared" si="1"/>
        <v>0.7648257481213705</v>
      </c>
      <c r="G20" s="13">
        <f>(PRODUCT($D$5:D19)-PRODUCT($D$5:D20))*F20</f>
        <v>1.3500571355395624E-3</v>
      </c>
      <c r="H20" s="5"/>
      <c r="I20" s="5">
        <f>PRODUCT($D$5:D19)*F19</f>
        <v>0.76727515887323594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65">
        <v>1.9609889240404178E-3</v>
      </c>
      <c r="D21" s="3">
        <f t="shared" si="0"/>
        <v>0.9980390110759596</v>
      </c>
      <c r="E21" s="34">
        <f t="shared" si="2"/>
        <v>1.6860612728192013</v>
      </c>
      <c r="F21" s="3">
        <f t="shared" si="1"/>
        <v>0.75078915694250026</v>
      </c>
      <c r="G21" s="13">
        <f>(PRODUCT($D$5:D20)-PRODUCT($D$5:D21))*F21</f>
        <v>1.4473004876536509E-3</v>
      </c>
      <c r="H21" s="5"/>
      <c r="I21" s="5">
        <f>PRODUCT($D$5:D20)*F20</f>
        <v>0.75184458487973116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65">
        <v>2.1915353318650377E-3</v>
      </c>
      <c r="D22" s="3">
        <f t="shared" si="0"/>
        <v>0.997808464668135</v>
      </c>
      <c r="E22" s="34">
        <f t="shared" si="2"/>
        <v>1.6953013025443886</v>
      </c>
      <c r="F22" s="3">
        <f t="shared" si="1"/>
        <v>0.73700969333450017</v>
      </c>
      <c r="G22" s="13">
        <f>(PRODUCT($D$5:D21)-PRODUCT($D$5:D22))*F22</f>
        <v>1.5846551619785574E-3</v>
      </c>
      <c r="H22" s="5"/>
      <c r="I22" s="5">
        <f>PRODUCT($D$5:D21)*F21</f>
        <v>0.73659893216096328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65">
        <v>2.50621450025804E-3</v>
      </c>
      <c r="D23" s="3">
        <f t="shared" si="0"/>
        <v>0.99749378549974199</v>
      </c>
      <c r="E23" s="34">
        <f t="shared" si="2"/>
        <v>1.7035703276014111</v>
      </c>
      <c r="F23" s="3">
        <f t="shared" si="1"/>
        <v>0.72348290437906992</v>
      </c>
      <c r="G23" s="13">
        <f>(PRODUCT($D$5:D22)-PRODUCT($D$5:D23))*F23</f>
        <v>1.7750344597870149E-3</v>
      </c>
      <c r="H23" s="5"/>
      <c r="I23" s="5">
        <f>PRODUCT($D$5:D22)*F22</f>
        <v>0.72149525093747613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65">
        <v>2.7492339648723255E-3</v>
      </c>
      <c r="D24" s="3">
        <f t="shared" si="0"/>
        <v>0.99725076603512763</v>
      </c>
      <c r="E24" s="34">
        <f t="shared" si="2"/>
        <v>1.7110131786357228</v>
      </c>
      <c r="F24" s="3">
        <f t="shared" si="1"/>
        <v>0.71020427736709346</v>
      </c>
      <c r="G24" s="13">
        <f>(PRODUCT($D$5:D23)-PRODUCT($D$5:D24))*F24</f>
        <v>1.9066257754788978E-3</v>
      </c>
      <c r="H24" s="5"/>
      <c r="I24" s="5">
        <f>PRODUCT($D$5:D23)*F23</f>
        <v>0.70647817355743814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65">
        <v>2.9586052969170283E-3</v>
      </c>
      <c r="D25" s="3">
        <f t="shared" si="0"/>
        <v>0.99704139470308295</v>
      </c>
      <c r="E25" s="34">
        <f t="shared" si="2"/>
        <v>1.7177475107786024</v>
      </c>
      <c r="F25" s="3">
        <f t="shared" si="1"/>
        <v>0.69716931555957717</v>
      </c>
      <c r="G25" s="13">
        <f>(PRODUCT($D$5:D24)-PRODUCT($D$5:D25))*F25</f>
        <v>2.0086309440833687E-3</v>
      </c>
      <c r="H25" s="5"/>
      <c r="I25" s="5">
        <f>PRODUCT($D$5:D24)*F24</f>
        <v>0.69160502141072056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65">
        <v>3.3615550953189706E-3</v>
      </c>
      <c r="D26" s="3">
        <f t="shared" si="0"/>
        <v>0.99663844490468101</v>
      </c>
      <c r="E26" s="34">
        <f t="shared" si="2"/>
        <v>1.7238697744849769</v>
      </c>
      <c r="F26" s="3">
        <f t="shared" si="1"/>
        <v>0.68437357348378747</v>
      </c>
      <c r="G26" s="13">
        <f>(PRODUCT($D$5:D25)-PRODUCT($D$5:D26))*F26</f>
        <v>2.2336828444124725E-3</v>
      </c>
      <c r="H26" s="5"/>
      <c r="I26" s="5">
        <f>PRODUCT($D$5:D25)*F25</f>
        <v>0.67690279606391646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65">
        <v>3.8236631832787478E-3</v>
      </c>
      <c r="D27" s="3">
        <f t="shared" si="0"/>
        <v>0.99617633681672124</v>
      </c>
      <c r="E27" s="34">
        <f t="shared" si="2"/>
        <v>1.729459730818963</v>
      </c>
      <c r="F27" s="3">
        <f t="shared" si="1"/>
        <v>0.67181267276365608</v>
      </c>
      <c r="G27" s="13">
        <f>(PRODUCT($D$5:D26)-PRODUCT($D$5:D27))*F27</f>
        <v>2.4857274079129062E-3</v>
      </c>
      <c r="H27" s="5"/>
      <c r="I27" s="5">
        <f>PRODUCT($D$5:D26)*F26</f>
        <v>0.66224533983260059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65">
        <v>4.3508081972202517E-3</v>
      </c>
      <c r="D28" s="3">
        <f t="shared" si="0"/>
        <v>0.99564919180277978</v>
      </c>
      <c r="E28" s="34">
        <f t="shared" si="2"/>
        <v>1.7345838853523512</v>
      </c>
      <c r="F28" s="3">
        <f t="shared" si="1"/>
        <v>0.65948230871465552</v>
      </c>
      <c r="G28" s="13">
        <f>(PRODUCT($D$5:D27)-PRODUCT($D$5:D28))*F28</f>
        <v>2.7658905381883299E-3</v>
      </c>
      <c r="H28" s="5"/>
      <c r="I28" s="5">
        <f>PRODUCT($D$5:D27)*F27</f>
        <v>0.64760485033523063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65">
        <v>4.7802607156820949E-3</v>
      </c>
      <c r="D29" s="3">
        <f t="shared" si="0"/>
        <v>0.99521973928431795</v>
      </c>
      <c r="E29" s="34">
        <f t="shared" si="2"/>
        <v>1.739298119763778</v>
      </c>
      <c r="F29" s="3">
        <f t="shared" si="1"/>
        <v>0.64737825261253013</v>
      </c>
      <c r="G29" s="13">
        <f>(PRODUCT($D$5:D28)-PRODUCT($D$5:D29))*F29</f>
        <v>2.9701469454966236E-3</v>
      </c>
      <c r="H29" s="5"/>
      <c r="I29" s="5">
        <f>PRODUCT($D$5:D28)*F28</f>
        <v>0.63295290303112428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65">
        <v>5.3683226934888488E-3</v>
      </c>
      <c r="D30" s="3">
        <f t="shared" si="0"/>
        <v>0.99463167730651114</v>
      </c>
      <c r="E30" s="34">
        <f t="shared" si="2"/>
        <v>1.7436497261169506</v>
      </c>
      <c r="F30" s="3">
        <f t="shared" si="1"/>
        <v>0.63549635196226228</v>
      </c>
      <c r="G30" s="13">
        <f>(PRODUCT($D$5:D29)-PRODUCT($D$5:D30))*F30</f>
        <v>3.2586589011997782E-3</v>
      </c>
      <c r="H30" s="5"/>
      <c r="I30" s="5">
        <f>PRODUCT($D$5:D29)*F29</f>
        <v>0.61836561738902807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65">
        <v>5.8385840569370583E-3</v>
      </c>
      <c r="D31" s="3">
        <f t="shared" si="0"/>
        <v>0.99416141594306295</v>
      </c>
      <c r="E31" s="34">
        <f t="shared" si="2"/>
        <v>1.7476789935987398</v>
      </c>
      <c r="F31" s="3">
        <f t="shared" si="1"/>
        <v>0.62383252985779225</v>
      </c>
      <c r="G31" s="13">
        <f>(PRODUCT($D$5:D30)-PRODUCT($D$5:D31))*F31</f>
        <v>3.4603901631603713E-3</v>
      </c>
      <c r="H31" s="5"/>
      <c r="I31" s="5">
        <f>PRODUCT($D$5:D30)*F30</f>
        <v>0.60375755216825033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65">
        <v>6.3944107580785536E-3</v>
      </c>
      <c r="D32" s="3">
        <f t="shared" si="0"/>
        <v>0.99360558924192144</v>
      </c>
      <c r="E32" s="34">
        <f t="shared" si="2"/>
        <v>1.7514204572802101</v>
      </c>
      <c r="F32" s="3">
        <f t="shared" si="1"/>
        <v>0.61238278393887291</v>
      </c>
      <c r="G32" s="13">
        <f>(PRODUCT($D$5:D31)-PRODUCT($D$5:D32))*F32</f>
        <v>3.6985366075840708E-3</v>
      </c>
      <c r="H32" s="5"/>
      <c r="I32" s="5">
        <f>PRODUCT($D$5:D31)*F31</f>
        <v>0.58921586993948438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58</v>
      </c>
      <c r="B33" s="1">
        <v>29</v>
      </c>
      <c r="C33" s="65">
        <v>6.9856464825959509E-3</v>
      </c>
      <c r="D33" s="3">
        <f t="shared" si="0"/>
        <v>0.99301435351740408</v>
      </c>
      <c r="E33" s="34">
        <f t="shared" si="2"/>
        <v>1.7549038894272715</v>
      </c>
      <c r="F33" s="3">
        <f t="shared" si="1"/>
        <v>0.60114318517818532</v>
      </c>
      <c r="G33" s="13">
        <f>(PRODUCT($D$5:D32)-PRODUCT($D$5:D33))*F33</f>
        <v>3.9409867619192842E-3</v>
      </c>
      <c r="H33" s="5"/>
      <c r="I33" s="5">
        <f>PRODUCT($D$5:D32)*F32</f>
        <v>0.57470293735331923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59</v>
      </c>
      <c r="B34" s="1">
        <v>30</v>
      </c>
      <c r="C34" s="65">
        <v>7.9751758402779125E-3</v>
      </c>
      <c r="D34" s="3">
        <f t="shared" si="0"/>
        <v>0.99202482415972204</v>
      </c>
      <c r="E34" s="34">
        <f t="shared" si="2"/>
        <v>1.7581550929571788</v>
      </c>
      <c r="F34" s="3">
        <f t="shared" si="1"/>
        <v>0.59010987660515313</v>
      </c>
      <c r="G34" s="13">
        <f>(PRODUCT($D$5:D33)-PRODUCT($D$5:D34))*F34</f>
        <v>4.3858030063818904E-3</v>
      </c>
      <c r="H34" s="5"/>
      <c r="I34" s="5">
        <f>PRODUCT($D$5:D33)*F33</f>
        <v>0.56021392312907892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60</v>
      </c>
      <c r="B35" s="1">
        <v>31</v>
      </c>
      <c r="C35" s="65">
        <v>8.9823729596385515E-3</v>
      </c>
      <c r="D35" s="3">
        <f t="shared" si="0"/>
        <v>0.99101762704036145</v>
      </c>
      <c r="E35" s="34">
        <f t="shared" si="2"/>
        <v>1.7611965415041722</v>
      </c>
      <c r="F35" s="3">
        <f t="shared" si="1"/>
        <v>0.57927907201461937</v>
      </c>
      <c r="G35" s="13">
        <f>(PRODUCT($D$5:D34)-PRODUCT($D$5:D35))*F35</f>
        <v>4.810358370339083E-3</v>
      </c>
      <c r="H35" s="5"/>
      <c r="I35" s="5">
        <f>PRODUCT($D$5:D34)*F34</f>
        <v>0.54554602222457316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61</v>
      </c>
      <c r="B36" s="1">
        <v>32</v>
      </c>
      <c r="C36" s="65">
        <v>9.8472600277920534E-3</v>
      </c>
      <c r="D36" s="22">
        <f t="shared" si="0"/>
        <v>0.99015273997220798</v>
      </c>
      <c r="E36" s="34">
        <f t="shared" si="2"/>
        <v>1.764047899553145</v>
      </c>
      <c r="F36" s="3">
        <f t="shared" si="1"/>
        <v>0.56864705468192578</v>
      </c>
      <c r="G36" s="13">
        <f>(PRODUCT($D$5:D35)-PRODUCT($D$5:D36))*F36</f>
        <v>5.1302448077070947E-3</v>
      </c>
      <c r="H36" s="5"/>
      <c r="I36" s="5">
        <f>PRODUCT($D$5:D35)*F35</f>
        <v>0.53072277880331864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62</v>
      </c>
      <c r="B37" s="1">
        <v>33</v>
      </c>
      <c r="C37" s="65">
        <v>1.062509620253387E-2</v>
      </c>
      <c r="D37" s="22">
        <f t="shared" si="0"/>
        <v>0.98937490379746618</v>
      </c>
      <c r="E37" s="34">
        <f t="shared" si="2"/>
        <v>1.7667264480390308</v>
      </c>
      <c r="F37" s="3">
        <f t="shared" si="1"/>
        <v>0.55821017609384593</v>
      </c>
      <c r="G37" s="13">
        <f>(PRODUCT($D$5:D36)-PRODUCT($D$5:D37))*F37</f>
        <v>5.3803769474467444E-3</v>
      </c>
      <c r="H37" s="5"/>
      <c r="I37" s="5">
        <f>PRODUCT($D$5:D36)*F36</f>
        <v>0.51585171293769183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63</v>
      </c>
      <c r="B38" s="1">
        <v>34</v>
      </c>
      <c r="C38" s="65">
        <v>1.1532022872793221E-2</v>
      </c>
      <c r="D38" s="22">
        <f t="shared" si="0"/>
        <v>0.9884679771272068</v>
      </c>
      <c r="E38" s="34">
        <f t="shared" si="2"/>
        <v>1.7692474348560308</v>
      </c>
      <c r="F38" s="3">
        <f t="shared" si="1"/>
        <v>0.54796485469937128</v>
      </c>
      <c r="G38" s="13">
        <f>(PRODUCT($D$5:D37)-PRODUCT($D$5:D38))*F38</f>
        <v>5.6715422628757419E-3</v>
      </c>
      <c r="H38" s="5"/>
      <c r="I38" s="5">
        <f>PRODUCT($D$5:D37)*F37</f>
        <v>0.5010034566562086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64</v>
      </c>
      <c r="B39" s="1">
        <v>35</v>
      </c>
      <c r="C39" s="65">
        <v>1.282132401342323E-2</v>
      </c>
      <c r="D39" s="22">
        <f t="shared" si="0"/>
        <v>0.98717867598657683</v>
      </c>
      <c r="E39" s="34">
        <f t="shared" si="2"/>
        <v>1.771624365286401</v>
      </c>
      <c r="F39" s="3">
        <f t="shared" si="1"/>
        <v>0.53790757468189987</v>
      </c>
      <c r="G39" s="13">
        <f>(PRODUCT($D$5:D38)-PRODUCT($D$5:D39))*F39</f>
        <v>6.1185161783934953E-3</v>
      </c>
      <c r="H39" s="5"/>
      <c r="I39" s="5">
        <f>PRODUCT($D$5:D38)*F38</f>
        <v>0.48613655814041734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65</v>
      </c>
      <c r="B40" s="1">
        <v>36</v>
      </c>
      <c r="C40" s="65">
        <v>1.3993820694014239E-2</v>
      </c>
      <c r="D40" s="22">
        <f t="shared" si="0"/>
        <v>0.98600617930598577</v>
      </c>
      <c r="E40" s="34">
        <f t="shared" si="2"/>
        <v>1.7738692440274511</v>
      </c>
      <c r="F40" s="3">
        <f t="shared" si="1"/>
        <v>0.52803488475328464</v>
      </c>
      <c r="G40" s="13">
        <f>(PRODUCT($D$5:D39)-PRODUCT($D$5:D40))*F40</f>
        <v>6.4714300757839809E-3</v>
      </c>
      <c r="H40" s="5"/>
      <c r="I40" s="5">
        <f>PRODUCT($D$5:D39)*F39</f>
        <v>0.47109555094819722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66</v>
      </c>
      <c r="B41" s="1">
        <v>37</v>
      </c>
      <c r="C41" s="65">
        <v>1.5789362132141549E-2</v>
      </c>
      <c r="D41" s="22">
        <f t="shared" si="0"/>
        <v>0.98421063786785845</v>
      </c>
      <c r="E41" s="34">
        <f t="shared" si="2"/>
        <v>1.775992777972228</v>
      </c>
      <c r="F41" s="3">
        <f t="shared" si="1"/>
        <v>0.51834339696971909</v>
      </c>
      <c r="G41" s="13">
        <f>(PRODUCT($D$5:D40)-PRODUCT($D$5:D41))*F41</f>
        <v>7.0674563602679723E-3</v>
      </c>
      <c r="H41" s="5"/>
      <c r="I41" s="5">
        <f>PRODUCT($D$5:D40)*F40</f>
        <v>0.45597769066735033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67</v>
      </c>
      <c r="B42" s="1">
        <v>38</v>
      </c>
      <c r="C42" s="65">
        <v>1.7491725665991654E-2</v>
      </c>
      <c r="D42" s="22">
        <f t="shared" si="0"/>
        <v>0.98250827433400834</v>
      </c>
      <c r="E42" s="34">
        <f t="shared" si="2"/>
        <v>1.7780045469727752</v>
      </c>
      <c r="F42" s="3">
        <f t="shared" si="1"/>
        <v>0.50882978556922476</v>
      </c>
      <c r="G42" s="13">
        <f>(PRODUCT($D$5:D41)-PRODUCT($D$5:D42))*F42</f>
        <v>7.5643953248575079E-3</v>
      </c>
      <c r="H42" s="5"/>
      <c r="I42" s="5">
        <f>PRODUCT($D$5:D41)*F41</f>
        <v>0.44054127546311167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68</v>
      </c>
      <c r="B43" s="1">
        <v>39</v>
      </c>
      <c r="C43" s="65">
        <v>1.921968630142732E-2</v>
      </c>
      <c r="D43" s="22">
        <f t="shared" si="0"/>
        <v>0.98078031369857266</v>
      </c>
      <c r="E43" s="34">
        <f t="shared" si="2"/>
        <v>1.7799131483323691</v>
      </c>
      <c r="F43" s="3">
        <f t="shared" si="1"/>
        <v>0.49949078583041739</v>
      </c>
      <c r="G43" s="13">
        <f>(PRODUCT($D$5:D42)-PRODUCT($D$5:D43))*F43</f>
        <v>8.0163934945512005E-3</v>
      </c>
      <c r="H43" s="5"/>
      <c r="I43" s="5">
        <f>PRODUCT($D$5:D42)*F42</f>
        <v>0.42489123937358747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>
        <v>69</v>
      </c>
      <c r="B44" s="1">
        <v>40</v>
      </c>
      <c r="C44" s="65">
        <v>2.0487828410334794E-2</v>
      </c>
      <c r="D44" s="22">
        <f t="shared" si="0"/>
        <v>0.97951217158966519</v>
      </c>
      <c r="E44" s="34">
        <f t="shared" si="2"/>
        <v>1.7817263196240263</v>
      </c>
      <c r="F44" s="3">
        <f>EXP(-(E44/100)*B44)</f>
        <v>0.4903231929521964</v>
      </c>
      <c r="G44" s="13">
        <f>(PRODUCT($D$5:D43)-PRODUCT($D$5:D44))*F44</f>
        <v>8.2272625253084538E-3</v>
      </c>
      <c r="H44" s="5"/>
      <c r="I44" s="5">
        <f>PRODUCT($D$5:D43)*F43</f>
        <v>0.40907644396533455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">
        <v>70</v>
      </c>
      <c r="B45" s="1"/>
      <c r="C45" s="65">
        <v>5.0893397860034509E-2</v>
      </c>
      <c r="D45" s="22"/>
      <c r="E45" s="34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zoomScale="180" zoomScaleNormal="180" workbookViewId="0">
      <selection activeCell="K3" sqref="K3"/>
    </sheetView>
  </sheetViews>
  <sheetFormatPr defaultRowHeight="15" x14ac:dyDescent="0.25"/>
  <cols>
    <col min="1" max="1" width="6.85546875" customWidth="1"/>
    <col min="2" max="2" width="6.5703125" customWidth="1"/>
    <col min="4" max="4" width="11.7109375" customWidth="1"/>
    <col min="5" max="5" width="16.28515625" customWidth="1"/>
    <col min="6" max="6" width="12.42578125" customWidth="1"/>
    <col min="7" max="7" width="13.28515625" customWidth="1"/>
    <col min="8" max="8" width="14.5703125" customWidth="1"/>
    <col min="9" max="9" width="14" customWidth="1"/>
    <col min="10" max="10" width="12.42578125" customWidth="1"/>
    <col min="11" max="11" width="24.7109375" customWidth="1"/>
    <col min="12" max="12" width="23.140625" customWidth="1"/>
    <col min="13" max="13" width="8" customWidth="1"/>
    <col min="14" max="14" width="10.5703125" customWidth="1"/>
    <col min="15" max="15" width="12.28515625" customWidth="1"/>
    <col min="16" max="17" width="10.28515625" customWidth="1"/>
    <col min="18" max="18" width="11.28515625" customWidth="1"/>
  </cols>
  <sheetData>
    <row r="1" spans="1:19" ht="20.25" customHeight="1" x14ac:dyDescent="3.5">
      <c r="A1" s="38" t="s">
        <v>3</v>
      </c>
      <c r="B1" s="37">
        <v>10000</v>
      </c>
      <c r="G1" s="4"/>
      <c r="H1" s="4"/>
    </row>
    <row r="2" spans="1:19" ht="16.5" customHeight="1" x14ac:dyDescent="0.35">
      <c r="D2" s="37"/>
      <c r="F2">
        <f>'základné pravdepodobnosti 2021'!E3</f>
        <v>1.8524400000000001</v>
      </c>
      <c r="G2">
        <f>'základné pravdepodobnosti 2021'!F3</f>
        <v>-2.5452140000000001</v>
      </c>
      <c r="H2" s="19">
        <f>'základné pravdepodobnosti 2021'!G3</f>
        <v>26.050540999999999</v>
      </c>
      <c r="I2" s="39">
        <f>'základné pravdepodobnosti 2021'!H3</f>
        <v>-24.729244999999999</v>
      </c>
      <c r="J2" s="19">
        <f>'základné pravdepodobnosti 2021'!I3</f>
        <v>1.1056299999999999</v>
      </c>
      <c r="K2" s="19">
        <f>'základné pravdepodobnosti 2021'!J3</f>
        <v>1.1652899999999999</v>
      </c>
      <c r="L2" s="33"/>
    </row>
    <row r="3" spans="1:19" ht="18" customHeight="1" x14ac:dyDescent="0.25">
      <c r="D3" s="16"/>
      <c r="F3" s="14"/>
      <c r="G3" s="32"/>
      <c r="H3" s="32"/>
    </row>
    <row r="4" spans="1:19" ht="19.5" customHeight="1" x14ac:dyDescent="0.25">
      <c r="A4" s="15" t="s">
        <v>0</v>
      </c>
      <c r="B4" s="15" t="s">
        <v>2</v>
      </c>
      <c r="F4" s="10" t="s">
        <v>6</v>
      </c>
      <c r="G4" s="52">
        <f>SUM(G5:G44)</f>
        <v>0.25405133489866588</v>
      </c>
      <c r="H4" s="54"/>
      <c r="I4" s="5">
        <f>SUM(I5:I44)</f>
        <v>26.641150515198031</v>
      </c>
      <c r="J4" s="5"/>
      <c r="K4" s="5"/>
      <c r="L4" s="5"/>
      <c r="M4" s="7"/>
      <c r="N4" s="7">
        <f>PRODUCT(D5:D44)*F44</f>
        <v>0.2841182635819906</v>
      </c>
      <c r="O4" s="7">
        <f>N4/(12*L5)</f>
        <v>8.998019125640497E-4</v>
      </c>
      <c r="P4" s="8">
        <f>B1*N4</f>
        <v>2841.182635819906</v>
      </c>
      <c r="Q4" s="8">
        <f>P4/I4</f>
        <v>106.64639405115371</v>
      </c>
      <c r="R4" s="8">
        <f>P4/(12*L5)</f>
        <v>8.9980191256404964</v>
      </c>
      <c r="S4" s="36">
        <f>B1*(N4+K10/100+K11/100*L5)/(12*(1-K12/100)*L5)</f>
        <v>12.371903724021626</v>
      </c>
    </row>
    <row r="5" spans="1:19" ht="21" customHeight="1" x14ac:dyDescent="0.25">
      <c r="A5" s="1">
        <v>30</v>
      </c>
      <c r="B5" s="1">
        <v>1</v>
      </c>
      <c r="C5" s="65">
        <v>1.0709044775518422E-3</v>
      </c>
      <c r="D5" s="3">
        <f>1-C5</f>
        <v>0.99892909552244813</v>
      </c>
      <c r="E5" s="34">
        <f>$F$2+$G$2*(1-EXP(-B5/$J$2))/(B5/$J$2)+$H$2*((1-EXP(-B5/$J$2))/(B5/$J$2)-EXP(-B5/$J$2))+$I$2*((1-EXP(-B5/$K$2))/(B5/$K$2)-EXP(-B5/$K$2))</f>
        <v>0.66117366475260209</v>
      </c>
      <c r="F5" s="3">
        <f>EXP(-(E5/100)*B5)</f>
        <v>0.99341007279066318</v>
      </c>
      <c r="G5" s="51">
        <f>C5*F5</f>
        <v>1.0638472949966225E-3</v>
      </c>
      <c r="H5" s="11">
        <f>B1*G4</f>
        <v>2540.5133489866589</v>
      </c>
      <c r="I5" s="5">
        <f>1</f>
        <v>1</v>
      </c>
      <c r="J5" s="24">
        <f>B1*G4/I4</f>
        <v>95.360496820036616</v>
      </c>
      <c r="K5" s="26">
        <f>PRODUCT(D5:D44)*F44</f>
        <v>0.2841182635819906</v>
      </c>
      <c r="L5" s="25">
        <f>I4-11/24*(1-K5)</f>
        <v>26.313038052673111</v>
      </c>
      <c r="M5" s="8">
        <f>B1*G4/(12*L5)</f>
        <v>8.0458001590348829</v>
      </c>
      <c r="N5" s="5"/>
      <c r="O5" s="9"/>
      <c r="P5" s="5"/>
      <c r="Q5" s="5"/>
      <c r="R5" s="5"/>
    </row>
    <row r="6" spans="1:19" x14ac:dyDescent="0.25">
      <c r="A6" s="1">
        <v>31</v>
      </c>
      <c r="B6" s="1">
        <v>2</v>
      </c>
      <c r="C6" s="65">
        <v>1.2274063642613777E-3</v>
      </c>
      <c r="D6" s="3">
        <f t="shared" ref="D6:D44" si="0">1-C6</f>
        <v>0.99877259363573867</v>
      </c>
      <c r="E6" s="34">
        <f>$F$2+$G$2*(1-EXP(-B6/$J$2))/(B6/$J$2)+$H$2*((1-EXP(-B6/$J$2))/(B6/$J$2)-EXP(-B6/$J$2))+$I$2*((1-EXP(-B6/$K$2))/(B6/$K$2)-EXP(-B6/$K$2))</f>
        <v>1.0755904258034521</v>
      </c>
      <c r="F6" s="3">
        <f t="shared" ref="F6:F43" si="1">EXP(-(E6/100)*B6)</f>
        <v>0.97871792019462289</v>
      </c>
      <c r="G6" s="12">
        <f>(D5-PRODUCT(D5:D6))*F6</f>
        <v>1.1999981430021395E-3</v>
      </c>
      <c r="H6" s="5"/>
      <c r="I6" s="13">
        <f>D5*F5</f>
        <v>0.99234622549566653</v>
      </c>
      <c r="J6" s="5"/>
      <c r="K6" s="5"/>
      <c r="L6" s="5"/>
      <c r="M6" s="5"/>
      <c r="N6" s="5"/>
      <c r="O6" s="5"/>
      <c r="P6" s="5"/>
      <c r="Q6" s="5"/>
      <c r="R6" s="5"/>
    </row>
    <row r="7" spans="1:19" x14ac:dyDescent="0.25">
      <c r="A7" s="1">
        <v>32</v>
      </c>
      <c r="B7" s="1">
        <v>3</v>
      </c>
      <c r="C7" s="65">
        <v>1.4161826546013117E-3</v>
      </c>
      <c r="D7" s="3">
        <f t="shared" si="0"/>
        <v>0.99858381734539869</v>
      </c>
      <c r="E7" s="34">
        <f t="shared" ref="E7:E44" si="2">$F$2+$G$2*(1-EXP(-B7/$J$2))/(B7/$J$2)+$H$2*((1-EXP(-B7/$J$2))/(B7/$J$2)-EXP(-B7/$J$2))+$I$2*((1-EXP(-B7/$K$2))/(B7/$K$2)-EXP(-B7/$K$2))</f>
        <v>1.2238097787174036</v>
      </c>
      <c r="F7" s="3">
        <f t="shared" si="1"/>
        <v>0.96395150335362567</v>
      </c>
      <c r="G7" s="13">
        <f>(PRODUCT($D$5:D6)-PRODUCT($D$5:D7))*F7</f>
        <v>1.3619956970080279E-3</v>
      </c>
      <c r="H7" s="5"/>
      <c r="I7" s="35">
        <f>PRODUCT($D$5:D6)*F6</f>
        <v>0.97646980864862409</v>
      </c>
      <c r="J7" s="24"/>
      <c r="K7" s="5"/>
      <c r="L7" s="5"/>
      <c r="M7" s="5"/>
      <c r="N7" s="5"/>
      <c r="O7" s="5"/>
      <c r="P7" s="5"/>
      <c r="Q7" s="5"/>
      <c r="R7" s="5"/>
    </row>
    <row r="8" spans="1:19" x14ac:dyDescent="0.25">
      <c r="A8" s="1">
        <v>33</v>
      </c>
      <c r="B8" s="1">
        <v>4</v>
      </c>
      <c r="C8" s="65">
        <v>1.5622393001174472E-3</v>
      </c>
      <c r="D8" s="3">
        <f t="shared" si="0"/>
        <v>0.99843776069988255</v>
      </c>
      <c r="E8" s="34">
        <f t="shared" si="2"/>
        <v>1.3032306860947243</v>
      </c>
      <c r="F8" s="3">
        <f t="shared" si="1"/>
        <v>0.94920619542653994</v>
      </c>
      <c r="G8" s="13">
        <f>(PRODUCT($D$5:D7)-PRODUCT($D$5:D8))*F8</f>
        <v>1.4773858204080279E-3</v>
      </c>
      <c r="H8" s="5"/>
      <c r="I8" s="5">
        <f>PRODUCT($D$5:D7)*F7</f>
        <v>0.9603753145170445</v>
      </c>
      <c r="J8" s="5"/>
      <c r="K8" s="5"/>
      <c r="L8" s="5"/>
      <c r="M8" s="5"/>
      <c r="N8" s="5"/>
      <c r="O8" s="5"/>
      <c r="P8" s="5"/>
      <c r="Q8" s="5"/>
      <c r="R8" s="5"/>
    </row>
    <row r="9" spans="1:19" x14ac:dyDescent="0.25">
      <c r="A9" s="1">
        <v>34</v>
      </c>
      <c r="B9" s="1">
        <v>5</v>
      </c>
      <c r="C9" s="65">
        <v>1.7069170953454866E-3</v>
      </c>
      <c r="D9" s="3">
        <f t="shared" si="0"/>
        <v>0.99829308290465446</v>
      </c>
      <c r="E9" s="34">
        <f t="shared" si="2"/>
        <v>1.3648269565488462</v>
      </c>
      <c r="F9" s="3">
        <f t="shared" si="1"/>
        <v>0.93403501904922503</v>
      </c>
      <c r="G9" s="13">
        <f>(PRODUCT($D$5:D8)-PRODUCT($D$5:D9))*F9</f>
        <v>1.5859240614821358E-3</v>
      </c>
      <c r="H9" s="5"/>
      <c r="I9" s="5">
        <f>PRODUCT($D$5:D8)*F8</f>
        <v>0.94420732477220792</v>
      </c>
      <c r="J9" s="5"/>
      <c r="K9" s="5"/>
      <c r="L9" s="5"/>
      <c r="M9" s="5"/>
      <c r="N9" s="5"/>
      <c r="O9" s="5"/>
      <c r="P9" s="5"/>
      <c r="Q9" s="5"/>
      <c r="R9" s="5"/>
    </row>
    <row r="10" spans="1:19" x14ac:dyDescent="0.25">
      <c r="A10" s="1">
        <v>35</v>
      </c>
      <c r="B10" s="1">
        <v>6</v>
      </c>
      <c r="C10" s="65">
        <v>1.79244123660696E-3</v>
      </c>
      <c r="D10" s="3">
        <f t="shared" si="0"/>
        <v>0.99820755876339307</v>
      </c>
      <c r="E10" s="34">
        <f t="shared" si="2"/>
        <v>1.4188689521821152</v>
      </c>
      <c r="F10" s="3">
        <f t="shared" si="1"/>
        <v>0.91839092284183621</v>
      </c>
      <c r="G10" s="13">
        <f>(PRODUCT($D$5:D9)-PRODUCT($D$5:D10))*F10</f>
        <v>1.6346974012833265E-3</v>
      </c>
      <c r="H10" s="5"/>
      <c r="I10" s="5">
        <f>PRODUCT($D$5:D9)*F9</f>
        <v>0.92753012135552226</v>
      </c>
      <c r="J10" s="5"/>
      <c r="K10" s="27">
        <v>5</v>
      </c>
      <c r="L10" s="5"/>
      <c r="M10" s="5"/>
      <c r="N10" s="5"/>
      <c r="O10" s="5"/>
      <c r="P10" s="5"/>
      <c r="Q10" s="5"/>
      <c r="R10" s="5"/>
    </row>
    <row r="11" spans="1:19" x14ac:dyDescent="0.25">
      <c r="A11" s="1">
        <v>36</v>
      </c>
      <c r="B11" s="1">
        <v>7</v>
      </c>
      <c r="C11" s="65">
        <v>1.9609889240404178E-3</v>
      </c>
      <c r="D11" s="3">
        <f t="shared" si="0"/>
        <v>0.9980390110759596</v>
      </c>
      <c r="E11" s="34">
        <f t="shared" si="2"/>
        <v>1.4663850609980162</v>
      </c>
      <c r="F11" s="3">
        <f t="shared" si="1"/>
        <v>0.9024455217852978</v>
      </c>
      <c r="G11" s="13">
        <f>(PRODUCT($D$5:D10)-PRODUCT($D$5:D11))*F11</f>
        <v>1.7542110889439417E-3</v>
      </c>
      <c r="H11" s="5"/>
      <c r="I11" s="5">
        <f>PRODUCT($D$5:D10)*F10</f>
        <v>0.91036027788604623</v>
      </c>
      <c r="J11" s="5"/>
      <c r="K11" s="27">
        <v>0.2</v>
      </c>
      <c r="L11" s="5"/>
      <c r="M11" s="5"/>
      <c r="N11" s="5"/>
      <c r="O11" s="5"/>
      <c r="P11" s="5"/>
      <c r="Q11" s="5"/>
      <c r="R11" s="5"/>
    </row>
    <row r="12" spans="1:19" x14ac:dyDescent="0.25">
      <c r="A12" s="1">
        <v>37</v>
      </c>
      <c r="B12" s="1">
        <v>8</v>
      </c>
      <c r="C12" s="65">
        <v>2.1915353318650377E-3</v>
      </c>
      <c r="D12" s="3">
        <f t="shared" si="0"/>
        <v>0.997808464668135</v>
      </c>
      <c r="E12" s="34">
        <f t="shared" si="2"/>
        <v>1.507326045432928</v>
      </c>
      <c r="F12" s="3">
        <f t="shared" si="1"/>
        <v>0.88640077946015683</v>
      </c>
      <c r="G12" s="13">
        <f>(PRODUCT($D$5:D11)-PRODUCT($D$5:D12))*F12</f>
        <v>1.9218161573572637E-3</v>
      </c>
      <c r="H12" s="5"/>
      <c r="I12" s="5">
        <f>PRODUCT($D$5:D11)*F11</f>
        <v>0.89280009640279923</v>
      </c>
      <c r="J12" s="5"/>
      <c r="K12" s="27">
        <v>1</v>
      </c>
      <c r="L12" s="5"/>
      <c r="M12" s="5"/>
      <c r="N12" s="5"/>
      <c r="O12" s="5"/>
      <c r="P12" s="5"/>
      <c r="Q12" s="5"/>
      <c r="R12" s="5"/>
    </row>
    <row r="13" spans="1:19" x14ac:dyDescent="0.25">
      <c r="A13" s="1">
        <v>38</v>
      </c>
      <c r="B13" s="1">
        <v>9</v>
      </c>
      <c r="C13" s="65">
        <v>2.50621450025804E-3</v>
      </c>
      <c r="D13" s="3">
        <f t="shared" si="0"/>
        <v>0.99749378549974199</v>
      </c>
      <c r="E13" s="34">
        <f t="shared" si="2"/>
        <v>1.5420743012469824</v>
      </c>
      <c r="F13" s="3">
        <f t="shared" si="1"/>
        <v>0.87041367911215639</v>
      </c>
      <c r="G13" s="13">
        <f>(PRODUCT($D$5:D12)-PRODUCT($D$5:D13))*F13</f>
        <v>2.1533982915108653E-3</v>
      </c>
      <c r="H13" s="5"/>
      <c r="I13" s="5">
        <f>PRODUCT($D$5:D12)*F12</f>
        <v>0.87500502568454008</v>
      </c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1">
        <v>39</v>
      </c>
      <c r="B14" s="1">
        <v>10</v>
      </c>
      <c r="C14" s="65">
        <v>2.7492339648723255E-3</v>
      </c>
      <c r="D14" s="3">
        <f t="shared" si="0"/>
        <v>0.99725076603512763</v>
      </c>
      <c r="E14" s="34">
        <f t="shared" si="2"/>
        <v>1.5713819111685488</v>
      </c>
      <c r="F14" s="3">
        <f t="shared" si="1"/>
        <v>0.8545859544698905</v>
      </c>
      <c r="G14" s="13">
        <f>(PRODUCT($D$5:D13)-PRODUCT($D$5:D14))*F14</f>
        <v>2.3134390828398704E-3</v>
      </c>
      <c r="H14" s="5"/>
      <c r="I14" s="5">
        <f>PRODUCT($D$5:D13)*F13</f>
        <v>0.85707006055015822</v>
      </c>
      <c r="J14" s="5"/>
      <c r="K14" s="29" t="s">
        <v>7</v>
      </c>
      <c r="L14" s="30" t="s">
        <v>8</v>
      </c>
      <c r="M14" s="5"/>
      <c r="N14" s="5"/>
      <c r="O14" s="29" t="s">
        <v>22</v>
      </c>
      <c r="P14" s="5"/>
      <c r="Q14" s="5"/>
      <c r="R14" t="s">
        <v>24</v>
      </c>
    </row>
    <row r="15" spans="1:19" x14ac:dyDescent="0.25">
      <c r="A15" s="1">
        <v>40</v>
      </c>
      <c r="B15" s="1">
        <v>11</v>
      </c>
      <c r="C15" s="65">
        <v>2.9586052969170283E-3</v>
      </c>
      <c r="D15" s="3">
        <f t="shared" si="0"/>
        <v>0.99704139470308295</v>
      </c>
      <c r="E15" s="34">
        <f t="shared" si="2"/>
        <v>1.5961163395225824</v>
      </c>
      <c r="F15" s="3">
        <f t="shared" si="1"/>
        <v>0.83897631969967568</v>
      </c>
      <c r="G15" s="13">
        <f>(PRODUCT($D$5:D14)-PRODUCT($D$5:D15))*F15</f>
        <v>2.4374276240301234E-3</v>
      </c>
      <c r="H15" s="5"/>
      <c r="I15" s="5">
        <f>PRODUCT($D$5:D14)*F14</f>
        <v>0.83917153905988739</v>
      </c>
      <c r="J15" s="5"/>
      <c r="K15" s="8">
        <f>B1*(G4+K10/100+K11/100*I4)/((1-K12/100)*I4)</f>
        <v>135.48328792673732</v>
      </c>
      <c r="L15" s="8">
        <f>B1*(G4+K10/100+K11/100*L5)/(12*(1-K12/100)*L5)</f>
        <v>11.410066384015956</v>
      </c>
      <c r="M15" s="5"/>
      <c r="N15" s="5"/>
      <c r="O15" s="8">
        <f>B1*(N4+K10/100+K11/100*I3)/((1-K12/100)*I4)</f>
        <v>126.68116391776468</v>
      </c>
      <c r="P15" s="5"/>
      <c r="Q15" s="5"/>
      <c r="R15" s="8">
        <f>B1*(G4+N4+K10/100+K11/100*I3)/((1-K12/100)*I4)</f>
        <v>223.00489807941784</v>
      </c>
    </row>
    <row r="16" spans="1:19" x14ac:dyDescent="0.25">
      <c r="A16" s="1">
        <v>41</v>
      </c>
      <c r="B16" s="1">
        <v>12</v>
      </c>
      <c r="C16" s="65">
        <v>3.3615550953189706E-3</v>
      </c>
      <c r="D16" s="3">
        <f t="shared" si="0"/>
        <v>0.99663844490468101</v>
      </c>
      <c r="E16" s="34">
        <f t="shared" si="2"/>
        <v>1.6170965793544503</v>
      </c>
      <c r="F16" s="3">
        <f t="shared" si="1"/>
        <v>0.82361541324661947</v>
      </c>
      <c r="G16" s="13">
        <f>(PRODUCT($D$5:D15)-PRODUCT($D$5:D16))*F16</f>
        <v>2.7106464991672268E-3</v>
      </c>
      <c r="H16" s="5"/>
      <c r="I16" s="5">
        <f>PRODUCT($D$5:D15)*F15</f>
        <v>0.82140603218792552</v>
      </c>
      <c r="J16" s="5"/>
      <c r="K16" s="5"/>
      <c r="L16" s="28" t="s">
        <v>10</v>
      </c>
      <c r="M16" s="28"/>
      <c r="N16" s="28"/>
      <c r="O16" s="5"/>
      <c r="P16" s="5"/>
      <c r="Q16" s="5"/>
      <c r="R16" s="5"/>
    </row>
    <row r="17" spans="1:18" x14ac:dyDescent="0.25">
      <c r="A17" s="1">
        <v>42</v>
      </c>
      <c r="B17" s="1">
        <v>13</v>
      </c>
      <c r="C17" s="65">
        <v>3.8236631832787478E-3</v>
      </c>
      <c r="D17" s="3">
        <f t="shared" si="0"/>
        <v>0.99617633681672124</v>
      </c>
      <c r="E17" s="34">
        <f t="shared" si="2"/>
        <v>1.6350249460437558</v>
      </c>
      <c r="F17" s="3">
        <f t="shared" si="1"/>
        <v>0.8085172673021418</v>
      </c>
      <c r="G17" s="13">
        <f>(PRODUCT($D$5:D16)-PRODUCT($D$5:D17))*F17</f>
        <v>3.0165793216383732E-3</v>
      </c>
      <c r="H17" s="5"/>
      <c r="I17" s="5">
        <f>PRODUCT($D$5:D16)*F16</f>
        <v>0.80365617549396828</v>
      </c>
      <c r="J17" s="5"/>
      <c r="K17" s="5"/>
      <c r="L17" s="31" t="s">
        <v>9</v>
      </c>
      <c r="M17" s="5"/>
      <c r="N17" s="5"/>
      <c r="O17" s="5"/>
      <c r="P17" s="5"/>
      <c r="Q17" s="5"/>
      <c r="R17" s="5"/>
    </row>
    <row r="18" spans="1:18" x14ac:dyDescent="0.25">
      <c r="A18" s="1">
        <v>43</v>
      </c>
      <c r="B18" s="1">
        <v>14</v>
      </c>
      <c r="C18" s="65">
        <v>4.3508081972202517E-3</v>
      </c>
      <c r="D18" s="3">
        <f t="shared" si="0"/>
        <v>0.99564919180277978</v>
      </c>
      <c r="E18" s="34">
        <f t="shared" si="2"/>
        <v>1.6504747808374685</v>
      </c>
      <c r="F18" s="3">
        <f t="shared" si="1"/>
        <v>0.79368670846826372</v>
      </c>
      <c r="G18" s="13">
        <f>(PRODUCT($D$5:D17)-PRODUCT($D$5:D18))*F18</f>
        <v>3.3566115731099204E-3</v>
      </c>
      <c r="H18" s="5"/>
      <c r="I18" s="5">
        <f>PRODUCT($D$5:D17)*F17</f>
        <v>0.78590733396397872</v>
      </c>
      <c r="J18" s="5"/>
      <c r="K18" s="5">
        <v>0.16875175969666165</v>
      </c>
      <c r="L18" s="8">
        <f>B1*(K18+K10/100+K11/100*L5)/(12*(1-K12/100)*L5)</f>
        <v>8.6813434944907719</v>
      </c>
      <c r="M18" s="5"/>
      <c r="N18" s="5"/>
      <c r="O18" s="5"/>
      <c r="P18" s="5"/>
      <c r="Q18" s="5"/>
      <c r="R18" s="5"/>
    </row>
    <row r="19" spans="1:18" x14ac:dyDescent="0.25">
      <c r="A19" s="1">
        <v>44</v>
      </c>
      <c r="B19" s="1">
        <v>15</v>
      </c>
      <c r="C19" s="65">
        <v>4.7802607156820949E-3</v>
      </c>
      <c r="D19" s="3">
        <f t="shared" si="0"/>
        <v>0.99521973928431795</v>
      </c>
      <c r="E19" s="34">
        <f t="shared" si="2"/>
        <v>1.6639030035353659</v>
      </c>
      <c r="F19" s="3">
        <f t="shared" si="1"/>
        <v>0.77912370145122234</v>
      </c>
      <c r="G19" s="13">
        <f>(PRODUCT($D$5:D18)-PRODUCT($D$5:D19))*F19</f>
        <v>3.6045112673574221E-3</v>
      </c>
      <c r="H19" s="5"/>
      <c r="I19" s="5">
        <f>PRODUCT($D$5:D18)*F18</f>
        <v>0.76813489551159764</v>
      </c>
      <c r="J19" s="5"/>
      <c r="K19" s="5"/>
      <c r="L19" s="28" t="s">
        <v>10</v>
      </c>
      <c r="M19" s="5"/>
      <c r="N19" s="5"/>
      <c r="O19" s="5"/>
      <c r="P19" s="5"/>
      <c r="Q19" s="5"/>
      <c r="R19" s="5"/>
    </row>
    <row r="20" spans="1:18" x14ac:dyDescent="0.25">
      <c r="A20" s="1">
        <v>45</v>
      </c>
      <c r="B20" s="1">
        <v>16</v>
      </c>
      <c r="C20" s="65">
        <v>5.3683226934888488E-3</v>
      </c>
      <c r="D20" s="3">
        <f t="shared" si="0"/>
        <v>0.99463167730651114</v>
      </c>
      <c r="E20" s="34">
        <f t="shared" si="2"/>
        <v>1.6756703208435078</v>
      </c>
      <c r="F20" s="3">
        <f t="shared" si="1"/>
        <v>0.7648257481213705</v>
      </c>
      <c r="G20" s="13">
        <f>(PRODUCT($D$5:D19)-PRODUCT($D$5:D20))*F20</f>
        <v>3.9546539136730797E-3</v>
      </c>
      <c r="H20" s="5"/>
      <c r="I20" s="5">
        <f>PRODUCT($D$5:D19)*F19</f>
        <v>0.75043621616253164</v>
      </c>
      <c r="J20" s="5"/>
      <c r="K20" s="5"/>
      <c r="L20" s="31" t="s">
        <v>11</v>
      </c>
      <c r="M20" s="5"/>
      <c r="N20" s="5"/>
      <c r="O20" s="5"/>
      <c r="P20" s="5"/>
      <c r="Q20" s="5"/>
      <c r="R20" s="5"/>
    </row>
    <row r="21" spans="1:18" x14ac:dyDescent="0.25">
      <c r="A21" s="1">
        <v>46</v>
      </c>
      <c r="B21" s="1">
        <v>17</v>
      </c>
      <c r="C21" s="65">
        <v>5.8385840569370583E-3</v>
      </c>
      <c r="D21" s="3">
        <f t="shared" si="0"/>
        <v>0.99416141594306295</v>
      </c>
      <c r="E21" s="34">
        <f t="shared" si="2"/>
        <v>1.6860612728192013</v>
      </c>
      <c r="F21" s="3">
        <f t="shared" si="1"/>
        <v>0.75078915694250026</v>
      </c>
      <c r="G21" s="13">
        <f>(PRODUCT($D$5:D20)-PRODUCT($D$5:D21))*F21</f>
        <v>4.1994767815011873E-3</v>
      </c>
      <c r="H21" s="5"/>
      <c r="I21" s="5">
        <f>PRODUCT($D$5:D20)*F20</f>
        <v>0.73271006232434477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">
        <v>47</v>
      </c>
      <c r="B22" s="1">
        <v>18</v>
      </c>
      <c r="C22" s="65">
        <v>6.3944107580785536E-3</v>
      </c>
      <c r="D22" s="3">
        <f t="shared" si="0"/>
        <v>0.99360558924192144</v>
      </c>
      <c r="E22" s="34">
        <f t="shared" si="2"/>
        <v>1.6953013025443886</v>
      </c>
      <c r="F22" s="3">
        <f t="shared" si="1"/>
        <v>0.73700969333450017</v>
      </c>
      <c r="G22" s="13">
        <f>(PRODUCT($D$5:D21)-PRODUCT($D$5:D22))*F22</f>
        <v>4.4884902890923693E-3</v>
      </c>
      <c r="H22" s="5"/>
      <c r="I22" s="5">
        <f>PRODUCT($D$5:D21)*F21</f>
        <v>0.71506340280513681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1">
        <v>48</v>
      </c>
      <c r="B23" s="1">
        <v>19</v>
      </c>
      <c r="C23" s="65">
        <v>6.9856464825959509E-3</v>
      </c>
      <c r="D23" s="3">
        <f t="shared" si="0"/>
        <v>0.99301435351740408</v>
      </c>
      <c r="E23" s="34">
        <f t="shared" si="2"/>
        <v>1.7035703276014111</v>
      </c>
      <c r="F23" s="3">
        <f t="shared" si="1"/>
        <v>0.72348290437906992</v>
      </c>
      <c r="G23" s="13">
        <f>(PRODUCT($D$5:D22)-PRODUCT($D$5:D23))*F23</f>
        <v>4.7827255751383604E-3</v>
      </c>
      <c r="H23" s="5"/>
      <c r="I23" s="5">
        <f>PRODUCT($D$5:D22)*F22</f>
        <v>0.69745113462813235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>
        <v>49</v>
      </c>
      <c r="B24" s="1">
        <v>20</v>
      </c>
      <c r="C24" s="65">
        <v>7.9751758402779125E-3</v>
      </c>
      <c r="D24" s="3">
        <f t="shared" si="0"/>
        <v>0.99202482415972204</v>
      </c>
      <c r="E24" s="34">
        <f t="shared" si="2"/>
        <v>1.7110131786357228</v>
      </c>
      <c r="F24" s="3">
        <f t="shared" si="1"/>
        <v>0.71020427736709346</v>
      </c>
      <c r="G24" s="13">
        <f>(PRODUCT($D$5:D23)-PRODUCT($D$5:D24))*F24</f>
        <v>5.322548926497828E-3</v>
      </c>
      <c r="H24" s="5"/>
      <c r="I24" s="5">
        <f>PRODUCT($D$5:D23)*F23</f>
        <v>0.67986766248186548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1">
        <v>50</v>
      </c>
      <c r="B25" s="1">
        <v>21</v>
      </c>
      <c r="C25" s="65">
        <v>8.9823729596385515E-3</v>
      </c>
      <c r="D25" s="3">
        <f t="shared" si="0"/>
        <v>0.99101762704036145</v>
      </c>
      <c r="E25" s="34">
        <f t="shared" si="2"/>
        <v>1.7177475107786024</v>
      </c>
      <c r="F25" s="3">
        <f t="shared" si="1"/>
        <v>0.69716931555957717</v>
      </c>
      <c r="G25" s="13">
        <f>(PRODUCT($D$5:D24)-PRODUCT($D$5:D25))*F25</f>
        <v>5.837783694159107E-3</v>
      </c>
      <c r="H25" s="5"/>
      <c r="I25" s="5">
        <f>PRODUCT($D$5:D24)*F24</f>
        <v>0.66206698994946289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>
        <v>51</v>
      </c>
      <c r="B26" s="1">
        <v>22</v>
      </c>
      <c r="C26" s="65">
        <v>9.8472600277920534E-3</v>
      </c>
      <c r="D26" s="3">
        <f t="shared" si="0"/>
        <v>0.99015273997220798</v>
      </c>
      <c r="E26" s="34">
        <f t="shared" si="2"/>
        <v>1.7238697744849769</v>
      </c>
      <c r="F26" s="3">
        <f t="shared" si="1"/>
        <v>0.68437357348378747</v>
      </c>
      <c r="G26" s="13">
        <f>(PRODUCT($D$5:D25)-PRODUCT($D$5:D26))*F26</f>
        <v>6.2259935714577752E-3</v>
      </c>
      <c r="H26" s="5"/>
      <c r="I26" s="5">
        <f>PRODUCT($D$5:D25)*F25</f>
        <v>0.64407774757921388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1">
        <v>52</v>
      </c>
      <c r="B27" s="1">
        <v>23</v>
      </c>
      <c r="C27" s="65">
        <v>1.062509620253387E-2</v>
      </c>
      <c r="D27" s="3">
        <f t="shared" si="0"/>
        <v>0.98937490379746618</v>
      </c>
      <c r="E27" s="34">
        <f t="shared" si="2"/>
        <v>1.729459730818963</v>
      </c>
      <c r="F27" s="3">
        <f t="shared" si="1"/>
        <v>0.67181267276365608</v>
      </c>
      <c r="G27" s="13">
        <f>(PRODUCT($D$5:D26)-PRODUCT($D$5:D27))*F27</f>
        <v>6.529550529115657E-3</v>
      </c>
      <c r="H27" s="5"/>
      <c r="I27" s="5">
        <f>PRODUCT($D$5:D26)*F26</f>
        <v>0.6260304466856399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>
        <v>53</v>
      </c>
      <c r="B28" s="1">
        <v>24</v>
      </c>
      <c r="C28" s="65">
        <v>1.1532022872793221E-2</v>
      </c>
      <c r="D28" s="3">
        <f t="shared" si="0"/>
        <v>0.9884679771272068</v>
      </c>
      <c r="E28" s="34">
        <f t="shared" si="2"/>
        <v>1.7345838853523512</v>
      </c>
      <c r="F28" s="3">
        <f t="shared" si="1"/>
        <v>0.65948230871465552</v>
      </c>
      <c r="G28" s="13">
        <f>(PRODUCT($D$5:D27)-PRODUCT($D$5:D28))*F28</f>
        <v>6.8829047393216035E-3</v>
      </c>
      <c r="H28" s="5"/>
      <c r="I28" s="5">
        <f>PRODUCT($D$5:D27)*F27</f>
        <v>0.60801081735560147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1">
        <v>54</v>
      </c>
      <c r="B29" s="1">
        <v>25</v>
      </c>
      <c r="C29" s="65">
        <v>1.282132401342323E-2</v>
      </c>
      <c r="D29" s="3">
        <f t="shared" si="0"/>
        <v>0.98717867598657683</v>
      </c>
      <c r="E29" s="34">
        <f t="shared" si="2"/>
        <v>1.739298119763778</v>
      </c>
      <c r="F29" s="3">
        <f t="shared" si="1"/>
        <v>0.64737825261253013</v>
      </c>
      <c r="G29" s="13">
        <f>(PRODUCT($D$5:D28)-PRODUCT($D$5:D29))*F29</f>
        <v>7.4253460799590092E-3</v>
      </c>
      <c r="H29" s="5"/>
      <c r="I29" s="5">
        <f>PRODUCT($D$5:D28)*F28</f>
        <v>0.58996855967808004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1">
        <v>55</v>
      </c>
      <c r="B30" s="1">
        <v>26</v>
      </c>
      <c r="C30" s="65">
        <v>1.3993820694014239E-2</v>
      </c>
      <c r="D30" s="3">
        <f t="shared" si="0"/>
        <v>0.98600617930598577</v>
      </c>
      <c r="E30" s="34">
        <f t="shared" si="2"/>
        <v>1.7436497261169506</v>
      </c>
      <c r="F30" s="3">
        <f t="shared" si="1"/>
        <v>0.63549635196226228</v>
      </c>
      <c r="G30" s="13">
        <f>(PRODUCT($D$5:D29)-PRODUCT($D$5:D30))*F30</f>
        <v>7.8536374832038451E-3</v>
      </c>
      <c r="H30" s="5"/>
      <c r="I30" s="5">
        <f>PRODUCT($D$5:D29)*F29</f>
        <v>0.57171500418223609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1">
        <v>56</v>
      </c>
      <c r="B31" s="1">
        <v>27</v>
      </c>
      <c r="C31" s="65">
        <v>1.5789362132141549E-2</v>
      </c>
      <c r="D31" s="3">
        <f t="shared" si="0"/>
        <v>0.98421063786785845</v>
      </c>
      <c r="E31" s="34">
        <f t="shared" si="2"/>
        <v>1.7476789935987398</v>
      </c>
      <c r="F31" s="3">
        <f t="shared" si="1"/>
        <v>0.62383252985779225</v>
      </c>
      <c r="G31" s="13">
        <f>(PRODUCT($D$5:D30)-PRODUCT($D$5:D31))*F31</f>
        <v>8.5769666921678665E-3</v>
      </c>
      <c r="H31" s="5"/>
      <c r="I31" s="5">
        <f>PRODUCT($D$5:D30)*F30</f>
        <v>0.55336817998392862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">
        <v>57</v>
      </c>
      <c r="B32" s="1">
        <v>28</v>
      </c>
      <c r="C32" s="65">
        <v>1.7491725665991654E-2</v>
      </c>
      <c r="D32" s="3">
        <f t="shared" si="0"/>
        <v>0.98250827433400834</v>
      </c>
      <c r="E32" s="34">
        <f t="shared" si="2"/>
        <v>1.7514204572802101</v>
      </c>
      <c r="F32" s="3">
        <f t="shared" si="1"/>
        <v>0.61238278393887291</v>
      </c>
      <c r="G32" s="13">
        <f>(PRODUCT($D$5:D31)-PRODUCT($D$5:D32))*F32</f>
        <v>9.1800449066173663E-3</v>
      </c>
      <c r="H32" s="5"/>
      <c r="I32" s="5">
        <f>PRODUCT($D$5:D31)*F31</f>
        <v>0.53463476158330125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1">
        <v>58</v>
      </c>
      <c r="B33" s="1">
        <v>29</v>
      </c>
      <c r="C33" s="65">
        <v>1.921968630142732E-2</v>
      </c>
      <c r="D33" s="3">
        <f t="shared" si="0"/>
        <v>0.98078031369857266</v>
      </c>
      <c r="E33" s="34">
        <f t="shared" si="2"/>
        <v>1.7549038894272715</v>
      </c>
      <c r="F33" s="3">
        <f t="shared" si="1"/>
        <v>0.60114318517818532</v>
      </c>
      <c r="G33" s="13">
        <f>(PRODUCT($D$5:D32)-PRODUCT($D$5:D33))*F33</f>
        <v>9.7285835967560932E-3</v>
      </c>
      <c r="H33" s="5"/>
      <c r="I33" s="5">
        <f>PRODUCT($D$5:D32)*F32</f>
        <v>0.51564209568215791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1">
        <v>59</v>
      </c>
      <c r="B34" s="1">
        <v>30</v>
      </c>
      <c r="C34" s="65">
        <v>2.0487828410334794E-2</v>
      </c>
      <c r="D34" s="3">
        <f t="shared" si="0"/>
        <v>0.97951217158966519</v>
      </c>
      <c r="E34" s="34">
        <f t="shared" si="2"/>
        <v>1.7581550929571788</v>
      </c>
      <c r="F34" s="3">
        <f t="shared" si="1"/>
        <v>0.59010987660515313</v>
      </c>
      <c r="G34" s="13">
        <f>(PRODUCT($D$5:D33)-PRODUCT($D$5:D34))*F34</f>
        <v>9.9844913187041844E-3</v>
      </c>
      <c r="H34" s="5"/>
      <c r="I34" s="5">
        <f>PRODUCT($D$5:D33)*F33</f>
        <v>0.49644948009170353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>
        <v>60</v>
      </c>
      <c r="B35" s="1">
        <v>31</v>
      </c>
      <c r="C35" s="65">
        <v>2.1782008215735317E-2</v>
      </c>
      <c r="D35" s="3">
        <f t="shared" si="0"/>
        <v>0.97821799178426472</v>
      </c>
      <c r="E35" s="34">
        <f t="shared" si="2"/>
        <v>1.7611965415041722</v>
      </c>
      <c r="F35" s="3">
        <f t="shared" si="1"/>
        <v>0.57927907201461937</v>
      </c>
      <c r="G35" s="13">
        <f>(PRODUCT($D$5:D34)-PRODUCT($D$5:D35))*F35</f>
        <v>1.020687333578647E-2</v>
      </c>
      <c r="H35" s="5"/>
      <c r="I35" s="5">
        <f>PRODUCT($D$5:D34)*F34</f>
        <v>0.47735321567163813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">
        <v>61</v>
      </c>
      <c r="B36" s="1">
        <v>32</v>
      </c>
      <c r="C36" s="65">
        <v>2.3345392397782359E-2</v>
      </c>
      <c r="D36" s="22">
        <f t="shared" si="0"/>
        <v>0.97665460760221767</v>
      </c>
      <c r="E36" s="34">
        <f t="shared" si="2"/>
        <v>1.764047899553145</v>
      </c>
      <c r="F36" s="3">
        <f t="shared" si="1"/>
        <v>0.56864705468192578</v>
      </c>
      <c r="G36" s="13">
        <f>(PRODUCT($D$5:D35)-PRODUCT($D$5:D36))*F36</f>
        <v>1.0504770954677703E-2</v>
      </c>
      <c r="H36" s="5"/>
      <c r="I36" s="5">
        <f>PRODUCT($D$5:D35)*F35</f>
        <v>0.45838505972633897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>
        <v>62</v>
      </c>
      <c r="B37" s="1">
        <v>33</v>
      </c>
      <c r="C37" s="65">
        <v>2.5277617903692692E-2</v>
      </c>
      <c r="D37" s="22">
        <f t="shared" si="0"/>
        <v>0.97472238209630735</v>
      </c>
      <c r="E37" s="34">
        <f t="shared" si="2"/>
        <v>1.7667264480390308</v>
      </c>
      <c r="F37" s="3">
        <f t="shared" si="1"/>
        <v>0.55821017609384593</v>
      </c>
      <c r="G37" s="13">
        <f>(PRODUCT($D$5:D36)-PRODUCT($D$5:D37))*F37</f>
        <v>1.0904795178678421E-2</v>
      </c>
      <c r="H37" s="5"/>
      <c r="I37" s="5">
        <f>PRODUCT($D$5:D36)*F36</f>
        <v>0.43946714537411202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">
        <v>63</v>
      </c>
      <c r="B38" s="1">
        <v>34</v>
      </c>
      <c r="C38" s="65">
        <v>2.8097097063730259E-2</v>
      </c>
      <c r="D38" s="22">
        <f t="shared" si="0"/>
        <v>0.9719029029362698</v>
      </c>
      <c r="E38" s="34">
        <f t="shared" si="2"/>
        <v>1.7692474348560308</v>
      </c>
      <c r="F38" s="3">
        <f t="shared" si="1"/>
        <v>0.54796485469937128</v>
      </c>
      <c r="G38" s="13">
        <f>(PRODUCT($D$5:D37)-PRODUCT($D$5:D38))*F38</f>
        <v>1.1597882746779869E-2</v>
      </c>
      <c r="H38" s="5"/>
      <c r="I38" s="5">
        <f>PRODUCT($D$5:D37)*F37</f>
        <v>0.42049642388498221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">
        <v>64</v>
      </c>
      <c r="B39" s="1">
        <v>35</v>
      </c>
      <c r="C39" s="65">
        <v>3.1015541214860165E-2</v>
      </c>
      <c r="D39" s="22">
        <f t="shared" si="0"/>
        <v>0.96898445878513983</v>
      </c>
      <c r="E39" s="34">
        <f t="shared" si="2"/>
        <v>1.771624365286401</v>
      </c>
      <c r="F39" s="3">
        <f t="shared" si="1"/>
        <v>0.53790757468189987</v>
      </c>
      <c r="G39" s="13">
        <f>(PRODUCT($D$5:D38)-PRODUCT($D$5:D39))*F39</f>
        <v>1.2214465312483058E-2</v>
      </c>
      <c r="H39" s="5"/>
      <c r="I39" s="5">
        <f>PRODUCT($D$5:D38)*F38</f>
        <v>0.40118080113196392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">
        <v>65</v>
      </c>
      <c r="B40" s="1">
        <v>36</v>
      </c>
      <c r="C40" s="65">
        <v>3.3576208414515571E-2</v>
      </c>
      <c r="D40" s="22">
        <f t="shared" si="0"/>
        <v>0.96642379158548442</v>
      </c>
      <c r="E40" s="34">
        <f t="shared" si="2"/>
        <v>1.7738692440274511</v>
      </c>
      <c r="F40" s="3">
        <f t="shared" si="1"/>
        <v>0.52803488475328464</v>
      </c>
      <c r="G40" s="13">
        <f>(PRODUCT($D$5:D39)-PRODUCT($D$5:D40))*F40</f>
        <v>1.2577621330728333E-2</v>
      </c>
      <c r="H40" s="5"/>
      <c r="I40" s="5">
        <f>PRODUCT($D$5:D39)*F39</f>
        <v>0.38160311239371703</v>
      </c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">
        <v>66</v>
      </c>
      <c r="B41" s="1">
        <v>37</v>
      </c>
      <c r="C41" s="65">
        <v>3.6439182521974742E-2</v>
      </c>
      <c r="D41" s="22">
        <f t="shared" si="0"/>
        <v>0.96356081747802524</v>
      </c>
      <c r="E41" s="34">
        <f t="shared" si="2"/>
        <v>1.775992777972228</v>
      </c>
      <c r="F41" s="3">
        <f t="shared" si="1"/>
        <v>0.51834339696971909</v>
      </c>
      <c r="G41" s="13">
        <f>(PRODUCT($D$5:D40)-PRODUCT($D$5:D41))*F41</f>
        <v>1.2949650793173681E-2</v>
      </c>
      <c r="H41" s="5"/>
      <c r="I41" s="5">
        <f>PRODUCT($D$5:D40)*F40</f>
        <v>0.36202159414503654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">
        <v>67</v>
      </c>
      <c r="B42" s="1">
        <v>38</v>
      </c>
      <c r="C42" s="65">
        <v>3.9394860506877766E-2</v>
      </c>
      <c r="D42" s="22">
        <f t="shared" si="0"/>
        <v>0.96060513949312221</v>
      </c>
      <c r="E42" s="34">
        <f t="shared" si="2"/>
        <v>1.7780045469727752</v>
      </c>
      <c r="F42" s="3">
        <f t="shared" si="1"/>
        <v>0.50882978556922476</v>
      </c>
      <c r="G42" s="13">
        <f>(PRODUCT($D$5:D41)-PRODUCT($D$5:D42))*F42</f>
        <v>1.3242289724802346E-2</v>
      </c>
      <c r="H42" s="5"/>
      <c r="I42" s="5">
        <f>PRODUCT($D$5:D41)*F41</f>
        <v>0.34242744322819613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>
        <v>68</v>
      </c>
      <c r="B43" s="1">
        <v>39</v>
      </c>
      <c r="C43" s="65">
        <v>4.2877879406435053E-2</v>
      </c>
      <c r="D43" s="22">
        <f t="shared" si="0"/>
        <v>0.95712212059356494</v>
      </c>
      <c r="E43" s="34">
        <f t="shared" si="2"/>
        <v>1.7799131483323691</v>
      </c>
      <c r="F43" s="3">
        <f t="shared" si="1"/>
        <v>0.49949078583041739</v>
      </c>
      <c r="G43" s="13">
        <f>(PRODUCT($D$5:D42)-PRODUCT($D$5:D43))*F43</f>
        <v>1.3591164787025769E-2</v>
      </c>
      <c r="H43" s="5"/>
      <c r="I43" s="5">
        <f>PRODUCT($D$5:D42)*F42</f>
        <v>0.32290028203250631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">
        <v>69</v>
      </c>
      <c r="B44" s="1">
        <v>40</v>
      </c>
      <c r="C44" s="65">
        <v>4.5988822084573416E-2</v>
      </c>
      <c r="D44" s="22">
        <f t="shared" si="0"/>
        <v>0.95401117791542656</v>
      </c>
      <c r="E44" s="34">
        <f t="shared" si="2"/>
        <v>1.7817263196240263</v>
      </c>
      <c r="F44" s="3">
        <f>EXP(-(E44/100)*B44)</f>
        <v>0.4903231929521964</v>
      </c>
      <c r="G44" s="13">
        <f>(PRODUCT($D$5:D43)-PRODUCT($D$5:D44))*F44</f>
        <v>1.3696133313029641E-2</v>
      </c>
      <c r="H44" s="5"/>
      <c r="I44" s="5">
        <f>PRODUCT($D$5:D43)*F43</f>
        <v>0.30338264490623079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">
        <v>70</v>
      </c>
      <c r="B45" s="1"/>
      <c r="C45" s="65">
        <v>5.0893397860034509E-2</v>
      </c>
      <c r="D45" s="22"/>
      <c r="E45" s="34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21"/>
      <c r="B46" s="21"/>
      <c r="C46" s="20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1"/>
      <c r="B47" s="21"/>
      <c r="C47" s="20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1"/>
      <c r="B48" s="21"/>
      <c r="C48" s="20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1"/>
      <c r="B49" s="21"/>
      <c r="C49" s="20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1"/>
      <c r="B50" s="21"/>
      <c r="C50" s="20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1"/>
      <c r="B51" s="21"/>
      <c r="C51" s="20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1"/>
      <c r="B52" s="21"/>
      <c r="C52" s="20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21"/>
      <c r="B53" s="21"/>
      <c r="C53" s="20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21"/>
      <c r="B54" s="21"/>
      <c r="C54" s="20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21"/>
      <c r="B55" s="21"/>
      <c r="C55" s="20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21"/>
      <c r="B56" s="21"/>
      <c r="C56" s="20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21"/>
      <c r="B57" s="21"/>
      <c r="C57" s="20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21"/>
      <c r="B58" s="21"/>
      <c r="C58" s="20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21"/>
      <c r="B59" s="21"/>
      <c r="C59" s="20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21"/>
      <c r="B60" s="21"/>
      <c r="C60" s="20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21"/>
      <c r="B61" s="21"/>
      <c r="C61" s="20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21"/>
      <c r="B62" s="21"/>
      <c r="C62" s="20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21"/>
      <c r="B63" s="21"/>
      <c r="C63" s="20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21"/>
      <c r="B64" s="21"/>
      <c r="C64" s="20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21"/>
      <c r="B65" s="21"/>
      <c r="C65" s="20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21"/>
      <c r="B66" s="21"/>
      <c r="C66" s="20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21"/>
      <c r="B67" s="21"/>
      <c r="C67" s="20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21"/>
      <c r="B68" s="21"/>
      <c r="C68" s="20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21"/>
      <c r="B69" s="21"/>
      <c r="C69" s="20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21"/>
      <c r="B70" s="21"/>
      <c r="C70" s="20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21"/>
      <c r="B71" s="21"/>
      <c r="C71" s="20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21"/>
      <c r="B72" s="21"/>
      <c r="C72" s="20"/>
      <c r="D72" s="22"/>
      <c r="E72" s="22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21"/>
      <c r="B73" s="21"/>
      <c r="C73" s="20"/>
      <c r="D73" s="22"/>
      <c r="E73" s="22"/>
      <c r="F73" s="22"/>
    </row>
    <row r="74" spans="1:18" x14ac:dyDescent="0.25">
      <c r="A74" s="21"/>
      <c r="B74" s="21"/>
      <c r="C74" s="20"/>
      <c r="D74" s="22"/>
      <c r="E74" s="22"/>
      <c r="F74" s="22"/>
    </row>
    <row r="75" spans="1:18" x14ac:dyDescent="0.25">
      <c r="A75" s="21"/>
      <c r="B75" s="21"/>
      <c r="C75" s="20"/>
      <c r="D75" s="22"/>
      <c r="E75" s="22"/>
      <c r="F75" s="22"/>
    </row>
    <row r="76" spans="1:18" x14ac:dyDescent="0.25">
      <c r="A76" s="21"/>
      <c r="B76" s="21"/>
      <c r="C76" s="20"/>
      <c r="D76" s="22"/>
      <c r="E76" s="22"/>
      <c r="F76" s="22"/>
    </row>
    <row r="77" spans="1:18" x14ac:dyDescent="0.25">
      <c r="A77" s="21"/>
      <c r="B77" s="21"/>
      <c r="C77" s="20"/>
      <c r="D77" s="22"/>
      <c r="E77" s="22"/>
      <c r="F77" s="22"/>
    </row>
    <row r="78" spans="1:18" x14ac:dyDescent="0.25">
      <c r="A78" s="21"/>
      <c r="B78" s="21"/>
      <c r="C78" s="20"/>
      <c r="D78" s="22"/>
      <c r="E78" s="22"/>
      <c r="F78" s="22"/>
    </row>
    <row r="79" spans="1:18" x14ac:dyDescent="0.25">
      <c r="A79" s="21"/>
      <c r="B79" s="21"/>
      <c r="C79" s="20"/>
      <c r="D79" s="22"/>
      <c r="E79" s="22"/>
      <c r="F79" s="22"/>
    </row>
    <row r="80" spans="1:18" x14ac:dyDescent="0.25">
      <c r="A80" s="21"/>
      <c r="B80" s="21"/>
      <c r="C80" s="20"/>
      <c r="D80" s="22"/>
      <c r="E80" s="22"/>
      <c r="F80" s="22"/>
    </row>
    <row r="81" spans="1:6" x14ac:dyDescent="0.25">
      <c r="A81" s="21"/>
      <c r="B81" s="21"/>
      <c r="C81" s="20"/>
      <c r="D81" s="22"/>
      <c r="E81" s="22"/>
      <c r="F81" s="22"/>
    </row>
    <row r="82" spans="1:6" x14ac:dyDescent="0.25">
      <c r="A82" s="21"/>
      <c r="B82" s="21"/>
      <c r="C82" s="20"/>
      <c r="D82" s="22"/>
      <c r="E82" s="22"/>
      <c r="F82" s="22"/>
    </row>
    <row r="83" spans="1:6" x14ac:dyDescent="0.25">
      <c r="A83" s="1"/>
      <c r="B83" s="1"/>
      <c r="C83" s="2"/>
      <c r="D83" s="3"/>
      <c r="E83" s="3"/>
      <c r="F83" s="3"/>
    </row>
    <row r="84" spans="1:6" x14ac:dyDescent="0.25">
      <c r="A84" s="1"/>
      <c r="B84" s="1"/>
      <c r="C84" s="2"/>
      <c r="D84" s="3"/>
      <c r="E84" s="3"/>
      <c r="F84" s="3"/>
    </row>
    <row r="85" spans="1:6" x14ac:dyDescent="0.25">
      <c r="A85" s="1"/>
      <c r="B85" s="1"/>
      <c r="C85" s="2"/>
      <c r="D85" s="3"/>
      <c r="E85" s="3"/>
      <c r="F85" s="3"/>
    </row>
    <row r="86" spans="1:6" x14ac:dyDescent="0.25">
      <c r="A86" s="1"/>
      <c r="B86" s="1"/>
      <c r="C86" s="2"/>
      <c r="D86" s="3"/>
      <c r="E86" s="3"/>
      <c r="F86" s="3"/>
    </row>
    <row r="87" spans="1:6" x14ac:dyDescent="0.25">
      <c r="A87" s="1"/>
      <c r="B87" s="1"/>
      <c r="C87" s="2"/>
      <c r="D87" s="3"/>
      <c r="E87" s="3"/>
      <c r="F87" s="3"/>
    </row>
    <row r="88" spans="1:6" x14ac:dyDescent="0.25">
      <c r="A88" s="1"/>
      <c r="B88" s="1"/>
      <c r="C88" s="2"/>
      <c r="D88" s="3"/>
      <c r="E88" s="3"/>
      <c r="F88" s="3"/>
    </row>
    <row r="89" spans="1:6" x14ac:dyDescent="0.25">
      <c r="A89" s="1"/>
      <c r="B89" s="1"/>
      <c r="C89" s="2"/>
      <c r="D89" s="3"/>
      <c r="E89" s="3"/>
      <c r="F89" s="3"/>
    </row>
    <row r="90" spans="1:6" x14ac:dyDescent="0.25">
      <c r="A90" s="1"/>
      <c r="B90" s="1"/>
      <c r="C90" s="2"/>
      <c r="D90" s="3"/>
      <c r="E90" s="3"/>
      <c r="F90" s="3"/>
    </row>
    <row r="91" spans="1:6" x14ac:dyDescent="0.25">
      <c r="A91" s="1"/>
      <c r="B91" s="1"/>
      <c r="C91" s="2"/>
      <c r="D91" s="3"/>
      <c r="E91" s="3"/>
      <c r="F91" s="3"/>
    </row>
    <row r="92" spans="1:6" x14ac:dyDescent="0.25">
      <c r="A92" s="1"/>
      <c r="B92" s="1"/>
      <c r="C92" s="2"/>
      <c r="D92" s="3"/>
      <c r="E92" s="3"/>
      <c r="F92" s="3"/>
    </row>
    <row r="93" spans="1:6" x14ac:dyDescent="0.25">
      <c r="A93" s="1"/>
      <c r="B93" s="1"/>
      <c r="C93" s="2"/>
      <c r="D93" s="3"/>
      <c r="E93" s="3"/>
      <c r="F93" s="3"/>
    </row>
    <row r="94" spans="1:6" x14ac:dyDescent="0.25">
      <c r="A94" s="1"/>
      <c r="B94" s="1"/>
      <c r="C94" s="2"/>
      <c r="D94" s="3"/>
      <c r="E94" s="3"/>
      <c r="F94" s="3"/>
    </row>
    <row r="95" spans="1:6" x14ac:dyDescent="0.25">
      <c r="A95" s="1"/>
      <c r="B95" s="1"/>
      <c r="C95" s="2"/>
      <c r="D95" s="3"/>
      <c r="E95" s="3"/>
      <c r="F95" s="3"/>
    </row>
    <row r="96" spans="1:6" x14ac:dyDescent="0.25">
      <c r="A96" s="1"/>
      <c r="B96" s="1"/>
      <c r="C96" s="2"/>
      <c r="D96" s="3"/>
      <c r="E96" s="3"/>
      <c r="F96" s="3"/>
    </row>
    <row r="97" spans="1:6" x14ac:dyDescent="0.25">
      <c r="A97" s="1"/>
      <c r="B97" s="1"/>
      <c r="C97" s="2"/>
      <c r="D97" s="3"/>
      <c r="E97" s="3"/>
      <c r="F97" s="3"/>
    </row>
    <row r="98" spans="1:6" x14ac:dyDescent="0.25">
      <c r="A98" s="1"/>
      <c r="B98" s="1"/>
      <c r="C98" s="2"/>
      <c r="D98" s="3"/>
      <c r="E98" s="3"/>
      <c r="F98" s="3"/>
    </row>
    <row r="99" spans="1:6" x14ac:dyDescent="0.25">
      <c r="A99" s="1"/>
      <c r="B99" s="1"/>
      <c r="C99" s="2"/>
      <c r="D99" s="3"/>
      <c r="E99" s="3"/>
      <c r="F99" s="3"/>
    </row>
    <row r="100" spans="1:6" x14ac:dyDescent="0.25">
      <c r="A100" s="1"/>
      <c r="B100" s="1"/>
      <c r="C100" s="2"/>
      <c r="D100" s="3"/>
      <c r="E100" s="3"/>
      <c r="F100" s="3"/>
    </row>
    <row r="101" spans="1:6" x14ac:dyDescent="0.25">
      <c r="A101" s="1"/>
      <c r="B101" s="1"/>
      <c r="C101" s="2"/>
      <c r="D101" s="3"/>
      <c r="E101" s="3"/>
      <c r="F101" s="3"/>
    </row>
    <row r="102" spans="1:6" x14ac:dyDescent="0.25">
      <c r="A102" s="1"/>
      <c r="B102" s="1"/>
      <c r="C102" s="2"/>
      <c r="D102" s="3"/>
      <c r="E102" s="3"/>
      <c r="F102" s="3"/>
    </row>
    <row r="103" spans="1:6" x14ac:dyDescent="0.25">
      <c r="A103" s="1"/>
      <c r="B103" s="1"/>
      <c r="C103" s="2"/>
      <c r="D103" s="3"/>
      <c r="E103" s="3"/>
      <c r="F103" s="3"/>
    </row>
    <row r="104" spans="1:6" x14ac:dyDescent="0.25">
      <c r="A104" s="1"/>
      <c r="B104" s="1"/>
      <c r="C104" s="2"/>
      <c r="D104" s="3"/>
      <c r="E104" s="3"/>
      <c r="F104" s="3"/>
    </row>
    <row r="105" spans="1:6" x14ac:dyDescent="0.25">
      <c r="A105" s="1"/>
      <c r="B105" s="1"/>
      <c r="C105" s="2"/>
      <c r="D105" s="3"/>
      <c r="E105" s="3"/>
      <c r="F105" s="3"/>
    </row>
    <row r="106" spans="1:6" x14ac:dyDescent="0.25">
      <c r="A106" s="1"/>
      <c r="B106" s="1"/>
      <c r="C106" s="2"/>
      <c r="D106" s="3"/>
      <c r="E106" s="3"/>
      <c r="F106" s="3"/>
    </row>
    <row r="107" spans="1:6" x14ac:dyDescent="0.25">
      <c r="A107" s="1"/>
      <c r="B107" s="1"/>
      <c r="C107" s="2"/>
      <c r="D107" s="3"/>
      <c r="E107" s="3"/>
      <c r="F107" s="3"/>
    </row>
    <row r="108" spans="1:6" x14ac:dyDescent="0.25">
      <c r="A108" s="1"/>
      <c r="B108" s="1"/>
      <c r="C108" s="2"/>
      <c r="D108" s="3"/>
      <c r="E108" s="3"/>
      <c r="F108" s="3"/>
    </row>
    <row r="109" spans="1:6" x14ac:dyDescent="0.25">
      <c r="A109" s="1"/>
      <c r="B109" s="1"/>
      <c r="C109" s="2"/>
      <c r="D109" s="3"/>
      <c r="E109" s="3"/>
      <c r="F109" s="3"/>
    </row>
    <row r="110" spans="1:6" x14ac:dyDescent="0.25">
      <c r="A110" s="1"/>
      <c r="B110" s="1"/>
      <c r="C110" s="2"/>
      <c r="D110" s="3"/>
      <c r="E110" s="3"/>
      <c r="F11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7"/>
  <sheetViews>
    <sheetView topLeftCell="B1" workbookViewId="0">
      <selection activeCell="F22" sqref="F22"/>
    </sheetView>
  </sheetViews>
  <sheetFormatPr defaultRowHeight="15" x14ac:dyDescent="0.25"/>
  <cols>
    <col min="5" max="5" width="33.42578125" customWidth="1"/>
    <col min="6" max="6" width="15.5703125" customWidth="1"/>
    <col min="7" max="7" width="48" customWidth="1"/>
    <col min="8" max="8" width="50.140625" customWidth="1"/>
  </cols>
  <sheetData>
    <row r="2" spans="4:8" ht="15.75" thickBot="1" x14ac:dyDescent="0.3">
      <c r="E2" t="s">
        <v>25</v>
      </c>
      <c r="H2" s="57"/>
    </row>
    <row r="3" spans="4:8" x14ac:dyDescent="0.25">
      <c r="D3" s="64">
        <v>1</v>
      </c>
      <c r="E3" s="55"/>
      <c r="F3" s="66" t="s">
        <v>19</v>
      </c>
      <c r="G3" s="67" t="s">
        <v>20</v>
      </c>
      <c r="H3" s="57"/>
    </row>
    <row r="4" spans="4:8" x14ac:dyDescent="0.25">
      <c r="D4" s="64"/>
      <c r="E4" s="56" t="s">
        <v>16</v>
      </c>
      <c r="F4" s="71">
        <f>TUM!H4</f>
        <v>2531.8809099134032</v>
      </c>
      <c r="G4" s="72">
        <f>TUM!J4</f>
        <v>74.745383396226245</v>
      </c>
      <c r="H4" s="57"/>
    </row>
    <row r="5" spans="4:8" x14ac:dyDescent="0.25">
      <c r="D5" s="64"/>
      <c r="E5" s="56" t="s">
        <v>17</v>
      </c>
      <c r="F5" s="76">
        <f>TUM!R4</f>
        <v>5782.8748830155137</v>
      </c>
      <c r="G5" s="77">
        <f>TUM!P4</f>
        <v>170.72019405454</v>
      </c>
      <c r="H5" s="57"/>
    </row>
    <row r="6" spans="4:8" ht="15.75" thickBot="1" x14ac:dyDescent="0.3">
      <c r="D6" s="64"/>
      <c r="E6" s="58" t="s">
        <v>18</v>
      </c>
      <c r="F6" s="60">
        <f>porovnanie!F4+porovnanie!F5</f>
        <v>8314.7557929289178</v>
      </c>
      <c r="G6" s="62">
        <f>G4+G5</f>
        <v>245.46557745076626</v>
      </c>
      <c r="H6" s="57"/>
    </row>
    <row r="7" spans="4:8" x14ac:dyDescent="0.25">
      <c r="D7" s="64"/>
      <c r="H7" s="57"/>
    </row>
    <row r="8" spans="4:8" ht="15.75" thickBot="1" x14ac:dyDescent="0.3">
      <c r="D8" s="64"/>
      <c r="E8" t="s">
        <v>26</v>
      </c>
      <c r="H8" s="57"/>
    </row>
    <row r="9" spans="4:8" x14ac:dyDescent="0.25">
      <c r="D9" s="64">
        <v>2</v>
      </c>
      <c r="E9" s="55"/>
      <c r="F9" s="68"/>
      <c r="G9" s="67" t="s">
        <v>20</v>
      </c>
      <c r="H9" s="57"/>
    </row>
    <row r="10" spans="4:8" x14ac:dyDescent="0.25">
      <c r="D10" s="64"/>
      <c r="E10" s="56" t="s">
        <v>16</v>
      </c>
      <c r="F10" s="71">
        <f>'TUM posun UT o 5 rokov'!H4</f>
        <v>3634.0566903921017</v>
      </c>
      <c r="G10" s="73">
        <f>'TUM posun UT o 5 rokov'!J4</f>
        <v>111.64315934847373</v>
      </c>
      <c r="H10" s="57"/>
    </row>
    <row r="11" spans="4:8" x14ac:dyDescent="0.25">
      <c r="D11" s="64"/>
      <c r="E11" s="56" t="s">
        <v>17</v>
      </c>
      <c r="F11" s="76">
        <f>'TUM posun UT o 5 rokov'!R4</f>
        <v>4746.5083046052268</v>
      </c>
      <c r="G11" s="77">
        <f>'TUM posun UT o 5 rokov'!P4</f>
        <v>145.81918449453778</v>
      </c>
      <c r="H11" s="57"/>
    </row>
    <row r="12" spans="4:8" ht="15.75" thickBot="1" x14ac:dyDescent="0.3">
      <c r="D12" s="64"/>
      <c r="E12" s="58" t="s">
        <v>18</v>
      </c>
      <c r="F12" s="60">
        <f>F10+F11</f>
        <v>8380.5649949973285</v>
      </c>
      <c r="G12" s="63">
        <f>G10+G11</f>
        <v>257.46234384301152</v>
      </c>
      <c r="H12" s="57"/>
    </row>
    <row r="13" spans="4:8" x14ac:dyDescent="0.25">
      <c r="D13" s="64"/>
      <c r="E13" s="57"/>
      <c r="F13" s="59"/>
      <c r="G13" s="59"/>
      <c r="H13" s="57"/>
    </row>
    <row r="14" spans="4:8" ht="15.75" thickBot="1" x14ac:dyDescent="0.3">
      <c r="D14" s="64"/>
      <c r="E14" t="s">
        <v>27</v>
      </c>
      <c r="H14" s="57"/>
    </row>
    <row r="15" spans="4:8" x14ac:dyDescent="0.25">
      <c r="D15" s="64">
        <v>3</v>
      </c>
      <c r="E15" s="55"/>
      <c r="F15" s="66" t="s">
        <v>19</v>
      </c>
      <c r="G15" s="67" t="s">
        <v>20</v>
      </c>
      <c r="H15" s="57"/>
    </row>
    <row r="16" spans="4:8" x14ac:dyDescent="0.25">
      <c r="D16" s="64"/>
      <c r="E16" s="56" t="s">
        <v>16</v>
      </c>
      <c r="F16" s="74">
        <f>'Smith-Wilson posun o 5 rokov'!H4</f>
        <v>2067.8867591092721</v>
      </c>
      <c r="G16" s="72">
        <f>'Smith-Wilson posun o 5 rokov'!J4</f>
        <v>87.236928594772664</v>
      </c>
      <c r="H16" s="57"/>
    </row>
    <row r="17" spans="4:8" x14ac:dyDescent="0.25">
      <c r="D17" s="64"/>
      <c r="E17" s="56" t="s">
        <v>17</v>
      </c>
      <c r="F17" s="78">
        <f>'Smith-Wilson posun o 5 rokov'!R4</f>
        <v>2024.3680064051553</v>
      </c>
      <c r="G17" s="77">
        <f>'Smith-Wilson posun o 5 rokov'!P4</f>
        <v>85.401024232283334</v>
      </c>
      <c r="H17" s="57"/>
    </row>
    <row r="18" spans="4:8" ht="15.75" thickBot="1" x14ac:dyDescent="0.3">
      <c r="D18" s="64"/>
      <c r="E18" s="58" t="s">
        <v>18</v>
      </c>
      <c r="F18" s="69">
        <f>F16+F17</f>
        <v>4092.2547655144272</v>
      </c>
      <c r="G18" s="62">
        <f>G16+G17</f>
        <v>172.63795282705598</v>
      </c>
      <c r="H18" s="57"/>
    </row>
    <row r="19" spans="4:8" x14ac:dyDescent="0.25">
      <c r="D19" s="64"/>
      <c r="H19" s="57"/>
    </row>
    <row r="20" spans="4:8" ht="15.75" thickBot="1" x14ac:dyDescent="0.3">
      <c r="D20" s="64"/>
      <c r="E20" t="s">
        <v>28</v>
      </c>
      <c r="H20" s="57"/>
    </row>
    <row r="21" spans="4:8" x14ac:dyDescent="0.25">
      <c r="D21" s="64">
        <v>4</v>
      </c>
      <c r="E21" s="55"/>
      <c r="F21" s="66" t="s">
        <v>19</v>
      </c>
      <c r="G21" s="67" t="s">
        <v>20</v>
      </c>
      <c r="H21" s="57"/>
    </row>
    <row r="22" spans="4:8" x14ac:dyDescent="0.25">
      <c r="D22" s="64"/>
      <c r="E22" s="56" t="s">
        <v>16</v>
      </c>
      <c r="F22" s="71">
        <f>'All bonds posun o 5 rokov'!H5</f>
        <v>1968.2447490532402</v>
      </c>
      <c r="G22" s="72">
        <f>'All bonds posun o 5 rokov'!J5</f>
        <v>84.964387483025746</v>
      </c>
      <c r="H22" s="57"/>
    </row>
    <row r="23" spans="4:8" x14ac:dyDescent="0.25">
      <c r="D23" s="64"/>
      <c r="E23" s="56" t="s">
        <v>17</v>
      </c>
      <c r="F23" s="76">
        <f>'All bonds posun o 5 rokov'!P4</f>
        <v>2006.0889719579709</v>
      </c>
      <c r="G23" s="77">
        <f>'All bonds posun o 5 rokov'!Q4</f>
        <v>86.598031480002348</v>
      </c>
      <c r="H23" s="57"/>
    </row>
    <row r="24" spans="4:8" ht="15.75" thickBot="1" x14ac:dyDescent="0.3">
      <c r="D24" s="64"/>
      <c r="E24" s="58" t="s">
        <v>18</v>
      </c>
      <c r="F24" s="60">
        <f>F22+F23</f>
        <v>3974.3337210112113</v>
      </c>
      <c r="G24" s="62">
        <f>G22+G23</f>
        <v>171.56241896302811</v>
      </c>
      <c r="H24" s="57"/>
    </row>
    <row r="25" spans="4:8" x14ac:dyDescent="0.25">
      <c r="H25" s="57"/>
    </row>
    <row r="27" spans="4:8" ht="15.75" thickBot="1" x14ac:dyDescent="0.3">
      <c r="D27" s="64">
        <v>5</v>
      </c>
      <c r="E27" t="s">
        <v>29</v>
      </c>
      <c r="H27" s="57"/>
    </row>
    <row r="28" spans="4:8" x14ac:dyDescent="0.25">
      <c r="E28" s="55"/>
      <c r="F28" s="66" t="s">
        <v>19</v>
      </c>
      <c r="G28" s="67" t="s">
        <v>20</v>
      </c>
      <c r="H28" s="57"/>
    </row>
    <row r="29" spans="4:8" x14ac:dyDescent="0.25">
      <c r="E29" s="56" t="s">
        <v>16</v>
      </c>
      <c r="F29" s="71">
        <f>'AAA rated posun o 5 rokov'!H5</f>
        <v>2540.5133489866589</v>
      </c>
      <c r="G29" s="72">
        <f>'AAA rated posun o 5 rokov'!J5</f>
        <v>95.360496820036616</v>
      </c>
      <c r="H29" s="57"/>
    </row>
    <row r="30" spans="4:8" x14ac:dyDescent="0.25">
      <c r="E30" s="56" t="s">
        <v>17</v>
      </c>
      <c r="F30" s="76">
        <f>'AAA rated posun o 5 rokov'!P4</f>
        <v>2841.182635819906</v>
      </c>
      <c r="G30" s="77">
        <f>'AAA rated posun o 5 rokov'!Q4</f>
        <v>106.64639405115371</v>
      </c>
      <c r="H30" s="57"/>
    </row>
    <row r="31" spans="4:8" ht="15.75" thickBot="1" x14ac:dyDescent="0.3">
      <c r="E31" s="58" t="s">
        <v>18</v>
      </c>
      <c r="F31" s="60">
        <f>F29+F30</f>
        <v>5381.6959848065653</v>
      </c>
      <c r="G31" s="62">
        <f>G29+G30</f>
        <v>202.00689087119031</v>
      </c>
      <c r="H31" s="57"/>
    </row>
    <row r="33" spans="4:8" ht="15.75" thickBot="1" x14ac:dyDescent="0.3">
      <c r="D33" s="64">
        <v>6</v>
      </c>
      <c r="E33" t="s">
        <v>30</v>
      </c>
      <c r="H33" s="57"/>
    </row>
    <row r="34" spans="4:8" x14ac:dyDescent="0.25">
      <c r="E34" s="55"/>
      <c r="F34" s="66" t="s">
        <v>19</v>
      </c>
      <c r="G34" s="67" t="s">
        <v>20</v>
      </c>
      <c r="H34" t="s">
        <v>31</v>
      </c>
    </row>
    <row r="35" spans="4:8" x14ac:dyDescent="0.25">
      <c r="E35" s="56" t="s">
        <v>16</v>
      </c>
      <c r="F35" s="59"/>
      <c r="G35" s="72">
        <f>'TUM posun UT o 5 rokov'!K14</f>
        <v>148.4887259895747</v>
      </c>
    </row>
    <row r="36" spans="4:8" x14ac:dyDescent="0.25">
      <c r="E36" s="56" t="s">
        <v>17</v>
      </c>
      <c r="F36" s="59"/>
      <c r="G36" s="61">
        <f>'TUM posun UT o 5 rokov'!O14</f>
        <v>183.00996351085149</v>
      </c>
      <c r="H36" s="36">
        <f>TUM!O14</f>
        <v>207.55660112740708</v>
      </c>
    </row>
    <row r="37" spans="4:8" ht="15.75" thickBot="1" x14ac:dyDescent="0.3">
      <c r="E37" s="58" t="s">
        <v>18</v>
      </c>
      <c r="F37" s="60"/>
      <c r="G37" s="62">
        <f>'TUM posun UT o 5 rokov'!S9</f>
        <v>295.78083153961285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7"/>
  <sheetViews>
    <sheetView topLeftCell="B7" workbookViewId="0">
      <selection activeCell="F30" sqref="F30"/>
    </sheetView>
  </sheetViews>
  <sheetFormatPr defaultRowHeight="15" x14ac:dyDescent="0.25"/>
  <cols>
    <col min="5" max="5" width="33.42578125" customWidth="1"/>
    <col min="6" max="6" width="15.5703125" customWidth="1"/>
    <col min="7" max="7" width="48" customWidth="1"/>
    <col min="8" max="8" width="50.140625" customWidth="1"/>
  </cols>
  <sheetData>
    <row r="2" spans="4:8" ht="15.75" thickBot="1" x14ac:dyDescent="0.3">
      <c r="E2" t="s">
        <v>25</v>
      </c>
      <c r="H2" s="57"/>
    </row>
    <row r="3" spans="4:8" x14ac:dyDescent="0.25">
      <c r="D3" s="64">
        <v>1</v>
      </c>
      <c r="E3" s="55"/>
      <c r="F3" s="66" t="s">
        <v>19</v>
      </c>
      <c r="G3" s="67" t="s">
        <v>20</v>
      </c>
      <c r="H3" s="57"/>
    </row>
    <row r="4" spans="4:8" x14ac:dyDescent="0.25">
      <c r="D4" s="64"/>
      <c r="E4" s="56" t="s">
        <v>16</v>
      </c>
      <c r="F4" s="8"/>
      <c r="G4" s="79"/>
      <c r="H4" s="57"/>
    </row>
    <row r="5" spans="4:8" x14ac:dyDescent="0.25">
      <c r="D5" s="64"/>
      <c r="E5" s="56" t="s">
        <v>17</v>
      </c>
      <c r="F5" s="84">
        <f>TUM!R4</f>
        <v>5782.8748830155137</v>
      </c>
      <c r="G5" s="83">
        <f>TUM!P4</f>
        <v>170.72019405454</v>
      </c>
      <c r="H5" s="57"/>
    </row>
    <row r="6" spans="4:8" ht="15.75" thickBot="1" x14ac:dyDescent="0.3">
      <c r="D6" s="64"/>
      <c r="E6" s="58" t="s">
        <v>18</v>
      </c>
      <c r="F6" s="60"/>
      <c r="G6" s="62"/>
      <c r="H6" s="57"/>
    </row>
    <row r="7" spans="4:8" x14ac:dyDescent="0.25">
      <c r="D7" s="64"/>
      <c r="H7" s="57"/>
    </row>
    <row r="8" spans="4:8" ht="15.75" thickBot="1" x14ac:dyDescent="0.3">
      <c r="D8" s="64"/>
      <c r="E8" t="s">
        <v>32</v>
      </c>
      <c r="H8" s="57"/>
    </row>
    <row r="9" spans="4:8" x14ac:dyDescent="0.25">
      <c r="D9" s="64">
        <v>2</v>
      </c>
      <c r="E9" s="55"/>
      <c r="F9" s="68"/>
      <c r="G9" s="67" t="s">
        <v>20</v>
      </c>
      <c r="H9" s="57"/>
    </row>
    <row r="10" spans="4:8" x14ac:dyDescent="0.25">
      <c r="D10" s="64"/>
      <c r="E10" s="56" t="s">
        <v>16</v>
      </c>
      <c r="F10" s="8"/>
      <c r="G10" s="80"/>
      <c r="H10" s="57"/>
    </row>
    <row r="11" spans="4:8" x14ac:dyDescent="0.25">
      <c r="D11" s="64"/>
      <c r="E11" s="56" t="s">
        <v>17</v>
      </c>
      <c r="F11" s="84">
        <f>'TUM x=25'!R4</f>
        <v>6571.1950387033557</v>
      </c>
      <c r="G11" s="83">
        <f>'TUM x=25'!P4</f>
        <v>189.01799501926484</v>
      </c>
      <c r="H11" s="57"/>
    </row>
    <row r="12" spans="4:8" ht="15.75" thickBot="1" x14ac:dyDescent="0.3">
      <c r="D12" s="64"/>
      <c r="E12" s="58" t="s">
        <v>18</v>
      </c>
      <c r="F12" s="60"/>
      <c r="G12" s="63"/>
      <c r="H12" s="57"/>
    </row>
    <row r="13" spans="4:8" x14ac:dyDescent="0.25">
      <c r="D13" s="64"/>
      <c r="E13" s="57"/>
      <c r="F13" s="59"/>
      <c r="G13" s="59"/>
      <c r="H13" s="57"/>
    </row>
    <row r="14" spans="4:8" ht="15.75" thickBot="1" x14ac:dyDescent="0.3">
      <c r="D14" s="64"/>
      <c r="E14" t="s">
        <v>33</v>
      </c>
      <c r="H14" s="57"/>
    </row>
    <row r="15" spans="4:8" x14ac:dyDescent="0.25">
      <c r="D15" s="64">
        <v>3</v>
      </c>
      <c r="E15" s="55"/>
      <c r="F15" s="66" t="s">
        <v>19</v>
      </c>
      <c r="G15" s="67" t="s">
        <v>20</v>
      </c>
      <c r="H15" s="57"/>
    </row>
    <row r="16" spans="4:8" x14ac:dyDescent="0.25">
      <c r="D16" s="64"/>
      <c r="E16" s="56" t="s">
        <v>16</v>
      </c>
      <c r="F16" s="24"/>
      <c r="G16" s="79"/>
      <c r="H16" s="57"/>
    </row>
    <row r="17" spans="4:8" x14ac:dyDescent="0.25">
      <c r="D17" s="64"/>
      <c r="E17" s="56" t="s">
        <v>17</v>
      </c>
      <c r="F17" s="85">
        <f>'Smith-Wilson posun x=25 rokov'!R4</f>
        <v>2802.590061265204</v>
      </c>
      <c r="G17" s="83">
        <f>'Smith-Wilson posun x=25 rokov'!P4</f>
        <v>112.40672224598809</v>
      </c>
      <c r="H17" s="57"/>
    </row>
    <row r="18" spans="4:8" ht="15.75" thickBot="1" x14ac:dyDescent="0.3">
      <c r="D18" s="64"/>
      <c r="E18" s="58" t="s">
        <v>18</v>
      </c>
      <c r="F18" s="81"/>
      <c r="G18" s="82"/>
      <c r="H18" s="57"/>
    </row>
    <row r="19" spans="4:8" x14ac:dyDescent="0.25">
      <c r="D19" s="64"/>
      <c r="H19" s="57"/>
    </row>
    <row r="20" spans="4:8" ht="15.75" thickBot="1" x14ac:dyDescent="0.3">
      <c r="D20" s="64"/>
      <c r="E20" t="s">
        <v>34</v>
      </c>
      <c r="H20" s="57"/>
    </row>
    <row r="21" spans="4:8" x14ac:dyDescent="0.25">
      <c r="D21" s="64">
        <v>4</v>
      </c>
      <c r="E21" s="55"/>
      <c r="F21" s="66" t="s">
        <v>19</v>
      </c>
      <c r="G21" s="67" t="s">
        <v>20</v>
      </c>
      <c r="H21" s="57"/>
    </row>
    <row r="22" spans="4:8" x14ac:dyDescent="0.25">
      <c r="D22" s="64"/>
      <c r="E22" s="56" t="s">
        <v>16</v>
      </c>
      <c r="F22" s="8"/>
      <c r="G22" s="79"/>
      <c r="H22" s="57"/>
    </row>
    <row r="23" spans="4:8" x14ac:dyDescent="0.25">
      <c r="D23" s="64"/>
      <c r="E23" s="56" t="s">
        <v>17</v>
      </c>
      <c r="F23" s="84">
        <f>'All bonds x=25'!P4</f>
        <v>2777.2840694153447</v>
      </c>
      <c r="G23" s="83">
        <f>'All bonds x=25'!Q4</f>
        <v>114.16161410138562</v>
      </c>
      <c r="H23" s="57"/>
    </row>
    <row r="24" spans="4:8" ht="15.75" thickBot="1" x14ac:dyDescent="0.3">
      <c r="D24" s="64"/>
      <c r="E24" s="58" t="s">
        <v>18</v>
      </c>
      <c r="F24" s="60"/>
      <c r="G24" s="62"/>
      <c r="H24" s="57"/>
    </row>
    <row r="25" spans="4:8" x14ac:dyDescent="0.25">
      <c r="H25" s="57"/>
    </row>
    <row r="27" spans="4:8" ht="15.75" thickBot="1" x14ac:dyDescent="0.3">
      <c r="D27" s="64">
        <v>5</v>
      </c>
      <c r="E27" t="s">
        <v>35</v>
      </c>
      <c r="H27" s="57"/>
    </row>
    <row r="28" spans="4:8" x14ac:dyDescent="0.25">
      <c r="E28" s="55"/>
      <c r="F28" s="66" t="s">
        <v>19</v>
      </c>
      <c r="G28" s="67" t="s">
        <v>20</v>
      </c>
      <c r="H28" s="57"/>
    </row>
    <row r="29" spans="4:8" x14ac:dyDescent="0.25">
      <c r="E29" s="56" t="s">
        <v>16</v>
      </c>
      <c r="F29" s="8"/>
      <c r="G29" s="79"/>
      <c r="H29" s="57"/>
    </row>
    <row r="30" spans="4:8" x14ac:dyDescent="0.25">
      <c r="E30" s="56" t="s">
        <v>17</v>
      </c>
      <c r="F30" s="84">
        <f>'AAA rated x=25'!P4</f>
        <v>3933.4104234971301</v>
      </c>
      <c r="G30" s="83">
        <f>'AAA rated x=25'!Q4</f>
        <v>139.65950264097245</v>
      </c>
      <c r="H30" s="57"/>
    </row>
    <row r="31" spans="4:8" ht="15.75" thickBot="1" x14ac:dyDescent="0.3">
      <c r="E31" s="58" t="s">
        <v>18</v>
      </c>
      <c r="F31" s="60"/>
      <c r="G31" s="62"/>
      <c r="H31" s="57"/>
    </row>
    <row r="33" spans="4:8" ht="15.75" thickBot="1" x14ac:dyDescent="0.3">
      <c r="D33" s="64">
        <v>6</v>
      </c>
      <c r="E33" t="s">
        <v>36</v>
      </c>
      <c r="H33" s="57"/>
    </row>
    <row r="34" spans="4:8" x14ac:dyDescent="0.25">
      <c r="E34" s="55"/>
      <c r="F34" s="66" t="s">
        <v>19</v>
      </c>
      <c r="G34" s="67" t="s">
        <v>20</v>
      </c>
    </row>
    <row r="35" spans="4:8" x14ac:dyDescent="0.25">
      <c r="E35" s="56" t="s">
        <v>16</v>
      </c>
      <c r="F35" s="59"/>
      <c r="G35" s="79"/>
    </row>
    <row r="36" spans="4:8" x14ac:dyDescent="0.25">
      <c r="E36" s="56" t="s">
        <v>17</v>
      </c>
      <c r="F36" s="59"/>
      <c r="G36" s="83">
        <f>'TUM x=25'!O14</f>
        <v>225.65687888981691</v>
      </c>
      <c r="H36" s="36"/>
    </row>
    <row r="37" spans="4:8" ht="15.75" thickBot="1" x14ac:dyDescent="0.3">
      <c r="E37" s="58" t="s">
        <v>18</v>
      </c>
      <c r="F37" s="60"/>
      <c r="G37" s="6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L12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59</v>
      </c>
      <c r="D1" s="162"/>
    </row>
    <row r="2" spans="1:37" ht="36.75" customHeight="1" thickBot="1" x14ac:dyDescent="0.3">
      <c r="A2" s="163" t="s">
        <v>62</v>
      </c>
      <c r="B2" s="86"/>
      <c r="C2" s="88">
        <f>TUM!H4</f>
        <v>2531.8809099134032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183"/>
      <c r="F3" s="18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203" t="s">
        <v>37</v>
      </c>
      <c r="X3" s="204">
        <f>W11/C2</f>
        <v>5.509175420052613E-2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60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0.4585279630087451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TUM!J4</f>
        <v>74.745383396226245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116"/>
      <c r="S6" s="247" t="s">
        <v>41</v>
      </c>
      <c r="T6" s="247"/>
      <c r="U6" s="91"/>
      <c r="V6" s="91"/>
      <c r="W6" s="202" t="s">
        <v>83</v>
      </c>
      <c r="X6" s="204">
        <v>-2.5000000000000001E-3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>
        <v>5.0000000000000001E-3</v>
      </c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205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/>
      <c r="F10" s="122"/>
      <c r="G10" s="121">
        <v>5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206">
        <f>SUM(W12:W51)</f>
        <v>139.48576075395366</v>
      </c>
      <c r="X11" s="132">
        <f>SUM(X12:X51)</f>
        <v>0.32921301812991999</v>
      </c>
      <c r="Y11" s="193">
        <f>NPV(X5,V12:V51)</f>
        <v>5.2140845568464545E-14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73">
        <v>0.5</v>
      </c>
      <c r="F12" s="173">
        <f>E12</f>
        <v>0.5</v>
      </c>
      <c r="G12" s="138">
        <f>(1+E12/100)^(-B12)</f>
        <v>0.99502487562189068</v>
      </c>
      <c r="H12" s="115">
        <f>PRODUCT($D$12:D12)</f>
        <v>0.99917201979718562</v>
      </c>
      <c r="I12" s="115">
        <f>H12*G12</f>
        <v>0.99420101472356792</v>
      </c>
      <c r="J12" s="139">
        <v>0</v>
      </c>
      <c r="K12" s="115">
        <f>C12</f>
        <v>8.279802028143497E-4</v>
      </c>
      <c r="L12" s="115">
        <f>K12*G12</f>
        <v>8.2386089832273612E-4</v>
      </c>
      <c r="M12" s="141">
        <v>0</v>
      </c>
      <c r="N12" s="141">
        <f>M12-J12</f>
        <v>0</v>
      </c>
      <c r="O12" s="142">
        <f>C4</f>
        <v>200</v>
      </c>
      <c r="P12" s="143">
        <f t="shared" ref="P12:P51" si="1">K12*$C$3</f>
        <v>8.2798020281434965</v>
      </c>
      <c r="Q12" s="144">
        <f t="shared" ref="Q12:Q51" si="2">$C$8*(1+$C$5)^(B12-1)</f>
        <v>2</v>
      </c>
      <c r="R12" s="144">
        <f t="shared" ref="R12:R50" si="3">$C$7*N12</f>
        <v>0</v>
      </c>
      <c r="S12" s="144">
        <f>$C$6</f>
        <v>74.745383396226245</v>
      </c>
      <c r="T12" s="144">
        <f>F12/100*(N12+S12-O12-Q12-P12-R12)</f>
        <v>-0.67767209315958621</v>
      </c>
      <c r="U12" s="145">
        <f>S12+T12-O12-Q12-R12-P12</f>
        <v>-136.21209072507685</v>
      </c>
      <c r="V12" s="143">
        <f t="shared" ref="V12:V51" si="4">U12*H12</f>
        <v>-136.09930981057252</v>
      </c>
      <c r="W12" s="143">
        <f t="shared" ref="W12:W51" si="5">V12*G12</f>
        <v>-135.42219881649009</v>
      </c>
      <c r="X12" s="3">
        <f>V12*(1+$X$6)^(-B12)</f>
        <v>-136.44041083766669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73">
        <v>0.5</v>
      </c>
      <c r="F13" s="173">
        <f>B13*E13-B12*E12</f>
        <v>0.5</v>
      </c>
      <c r="G13" s="138">
        <f>(1+E13/100)^(-B13)</f>
        <v>0.99007450310635903</v>
      </c>
      <c r="H13" s="115">
        <f>PRODUCT($D$12:D13)</f>
        <v>0.99823320922948466</v>
      </c>
      <c r="I13" s="115">
        <f>H13*G13</f>
        <v>0.9883252486121481</v>
      </c>
      <c r="J13" s="139">
        <f>$C$6*SUM(I12:$I$50)/(G12*H12)</f>
        <v>2471.4675303367799</v>
      </c>
      <c r="K13" s="140">
        <f>H12-H13</f>
        <v>9.3881056770095395E-4</v>
      </c>
      <c r="L13" s="115">
        <f>K13*G13</f>
        <v>9.2949240632752086E-4</v>
      </c>
      <c r="M13" s="141">
        <f>$C$3*SUM(L12:$L$51)/(G12*H12)</f>
        <v>2546.6488893268515</v>
      </c>
      <c r="N13" s="141">
        <f t="shared" ref="N13:N47" si="6">M13-J13</f>
        <v>75.181358990071658</v>
      </c>
      <c r="O13" s="144">
        <v>0</v>
      </c>
      <c r="P13" s="143">
        <f t="shared" si="1"/>
        <v>9.3881056770095395</v>
      </c>
      <c r="Q13" s="144">
        <f t="shared" si="2"/>
        <v>2.04</v>
      </c>
      <c r="R13" s="144">
        <f t="shared" si="3"/>
        <v>0.15036271798014331</v>
      </c>
      <c r="S13" s="144">
        <f t="shared" ref="S13:S51" si="7">$C$6</f>
        <v>74.745383396226245</v>
      </c>
      <c r="T13" s="144">
        <f t="shared" ref="T13:T51" si="8">F13/100*(N13+S13-O13-Q13-P13-R13)</f>
        <v>0.69174136995654123</v>
      </c>
      <c r="U13" s="145">
        <f>S13+T13-O13-Q13-R13-P13</f>
        <v>63.858656371193099</v>
      </c>
      <c r="V13" s="143">
        <f t="shared" si="4"/>
        <v>63.745831486498965</v>
      </c>
      <c r="W13" s="143">
        <f t="shared" si="5"/>
        <v>63.113122434097157</v>
      </c>
      <c r="X13" s="3">
        <f t="shared" ref="X13:X52" si="9">V13*(1+$X$6)^(-B13)</f>
        <v>64.065759874874118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73">
        <v>0.5</v>
      </c>
      <c r="F14" s="173">
        <f t="shared" ref="F14:F51" si="10">B14*E14-B13*E13</f>
        <v>0.5</v>
      </c>
      <c r="G14" s="138">
        <f t="shared" ref="G14:G47" si="11">(1+E14/100)^(-B14)</f>
        <v>0.98514875930981005</v>
      </c>
      <c r="H14" s="115">
        <f>PRODUCT($D$12:D14)</f>
        <v>0.99720309581120525</v>
      </c>
      <c r="I14" s="115">
        <f>H14*G14</f>
        <v>0.98239339261831049</v>
      </c>
      <c r="J14" s="139">
        <f>$C$6*SUM(I13:$I$50)/(G13*H13)</f>
        <v>2410.9710784428676</v>
      </c>
      <c r="K14" s="140">
        <f>H13-H14</f>
        <v>1.0301134182794103E-3</v>
      </c>
      <c r="L14" s="115">
        <f>K14*G14</f>
        <v>1.0148149559663483E-3</v>
      </c>
      <c r="M14" s="141">
        <f>$C$3*SUM(L13:$L$51)/(G13*H13)</f>
        <v>2553.4532326013032</v>
      </c>
      <c r="N14" s="141">
        <f t="shared" si="6"/>
        <v>142.48215415843561</v>
      </c>
      <c r="O14" s="144">
        <v>0</v>
      </c>
      <c r="P14" s="143">
        <f t="shared" si="1"/>
        <v>10.301134182794103</v>
      </c>
      <c r="Q14" s="144">
        <f t="shared" si="2"/>
        <v>2.0808</v>
      </c>
      <c r="R14" s="144">
        <f t="shared" si="3"/>
        <v>0.2849643083168712</v>
      </c>
      <c r="S14" s="144">
        <f t="shared" si="7"/>
        <v>74.745383396226245</v>
      </c>
      <c r="T14" s="144">
        <f t="shared" si="8"/>
        <v>1.0228031953177545</v>
      </c>
      <c r="U14" s="145">
        <f t="shared" ref="U14:U51" si="12">S14+T14-O14-Q14-R14-P14</f>
        <v>63.101288100433024</v>
      </c>
      <c r="V14" s="143">
        <f t="shared" si="4"/>
        <v>62.924799843426577</v>
      </c>
      <c r="W14" s="143">
        <f t="shared" si="5"/>
        <v>61.990288495569821</v>
      </c>
      <c r="X14" s="3">
        <f t="shared" si="9"/>
        <v>63.399105391245847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73">
        <v>0.5</v>
      </c>
      <c r="F15" s="173">
        <f t="shared" si="10"/>
        <v>0.5</v>
      </c>
      <c r="G15" s="138">
        <f t="shared" si="11"/>
        <v>0.9802475217013038</v>
      </c>
      <c r="H15" s="115">
        <f>PRODUCT($D$12:D15)</f>
        <v>0.99615955299866155</v>
      </c>
      <c r="I15" s="115">
        <f>H15*G15</f>
        <v>0.97648293304601663</v>
      </c>
      <c r="J15" s="139">
        <f>$C$6*SUM(I14:$I$50)/(G14*H14)</f>
        <v>2350.3322174400637</v>
      </c>
      <c r="K15" s="140">
        <f t="shared" ref="K15:K47" si="13">H14-H15</f>
        <v>1.0435428125437074E-3</v>
      </c>
      <c r="L15" s="115">
        <f>K15*G15</f>
        <v>1.0229302557851773E-3</v>
      </c>
      <c r="M15" s="141">
        <f>$C$3*SUM(L14:$L$51)/(G14*H14)</f>
        <v>2559.409902142736</v>
      </c>
      <c r="N15" s="141">
        <f t="shared" si="6"/>
        <v>209.07768470267229</v>
      </c>
      <c r="O15" s="144">
        <v>0</v>
      </c>
      <c r="P15" s="143">
        <f t="shared" si="1"/>
        <v>10.435428125437074</v>
      </c>
      <c r="Q15" s="144">
        <f t="shared" si="2"/>
        <v>2.1224159999999999</v>
      </c>
      <c r="R15" s="144">
        <f t="shared" si="3"/>
        <v>0.41815536940534459</v>
      </c>
      <c r="S15" s="144">
        <f t="shared" si="7"/>
        <v>74.745383396226245</v>
      </c>
      <c r="T15" s="144">
        <f t="shared" si="8"/>
        <v>1.3542353430202809</v>
      </c>
      <c r="U15" s="145">
        <f t="shared" si="12"/>
        <v>63.123619244404111</v>
      </c>
      <c r="V15" s="143">
        <f t="shared" si="4"/>
        <v>62.881196330163306</v>
      </c>
      <c r="W15" s="143">
        <f t="shared" si="5"/>
        <v>61.639136864255697</v>
      </c>
      <c r="X15" s="3">
        <f t="shared" si="9"/>
        <v>63.513958104924974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73">
        <v>0.5</v>
      </c>
      <c r="F16" s="173">
        <f t="shared" si="10"/>
        <v>0.5</v>
      </c>
      <c r="G16" s="138">
        <f t="shared" si="11"/>
        <v>0.97537066835950648</v>
      </c>
      <c r="H16" s="115">
        <f>PRODUCT($D$12:D16)</f>
        <v>0.99513503894949118</v>
      </c>
      <c r="I16" s="115">
        <f t="shared" ref="I16:I47" si="14">H16*G16</f>
        <v>0.97062552804812874</v>
      </c>
      <c r="J16" s="139">
        <f>$C$6*SUM(I15:$I$50)/(G15*H15)</f>
        <v>2289.3605145974802</v>
      </c>
      <c r="K16" s="140">
        <f t="shared" si="13"/>
        <v>1.0245140491703664E-3</v>
      </c>
      <c r="L16" s="115">
        <f t="shared" ref="L16:L47" si="15">K16*G16</f>
        <v>9.9928095288300445E-4</v>
      </c>
      <c r="M16" s="141">
        <f>$C$3*SUM(L15:$L$51)/(G15*H15)</f>
        <v>2564.5089561327</v>
      </c>
      <c r="N16" s="141">
        <f t="shared" si="6"/>
        <v>275.14844153521972</v>
      </c>
      <c r="O16" s="144">
        <v>0</v>
      </c>
      <c r="P16" s="143">
        <f t="shared" si="1"/>
        <v>10.245140491703664</v>
      </c>
      <c r="Q16" s="144">
        <f t="shared" si="2"/>
        <v>2.16486432</v>
      </c>
      <c r="R16" s="144">
        <f t="shared" si="3"/>
        <v>0.55029688307043945</v>
      </c>
      <c r="S16" s="144">
        <f t="shared" si="7"/>
        <v>74.745383396226245</v>
      </c>
      <c r="T16" s="144">
        <f t="shared" si="8"/>
        <v>1.6846676161833596</v>
      </c>
      <c r="U16" s="145">
        <f t="shared" si="12"/>
        <v>63.46974931763549</v>
      </c>
      <c r="V16" s="143">
        <f t="shared" si="4"/>
        <v>63.160971459319633</v>
      </c>
      <c r="W16" s="143">
        <f t="shared" si="5"/>
        <v>61.605358946512304</v>
      </c>
      <c r="X16" s="3">
        <f t="shared" si="9"/>
        <v>63.956439658277887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73">
        <v>0.5</v>
      </c>
      <c r="F17" s="173">
        <f t="shared" si="10"/>
        <v>0.5</v>
      </c>
      <c r="G17" s="138">
        <f t="shared" si="11"/>
        <v>0.97051807796965839</v>
      </c>
      <c r="H17" s="115">
        <f>PRODUCT($D$12:D17)</f>
        <v>0.99406934438051142</v>
      </c>
      <c r="I17" s="115">
        <f>H17*G17</f>
        <v>0.96476226947673238</v>
      </c>
      <c r="J17" s="139">
        <f>$C$6*SUM(I16:$I$50)/(G16*H16)</f>
        <v>2227.9796032484528</v>
      </c>
      <c r="K17" s="140">
        <f t="shared" si="13"/>
        <v>1.0656945689797581E-3</v>
      </c>
      <c r="L17" s="115">
        <f t="shared" si="15"/>
        <v>1.0342758447889383E-3</v>
      </c>
      <c r="M17" s="141">
        <f>$C$3*SUM(L16:$L$51)/(G16*H16)</f>
        <v>2569.4460455461262</v>
      </c>
      <c r="N17" s="141">
        <f t="shared" si="6"/>
        <v>341.46644229767344</v>
      </c>
      <c r="O17" s="144">
        <v>0</v>
      </c>
      <c r="P17" s="143">
        <f t="shared" si="1"/>
        <v>10.656945689797581</v>
      </c>
      <c r="Q17" s="144">
        <f t="shared" si="2"/>
        <v>2.2081616064</v>
      </c>
      <c r="R17" s="144">
        <f t="shared" si="3"/>
        <v>0.68293288459534685</v>
      </c>
      <c r="S17" s="144">
        <f t="shared" si="7"/>
        <v>74.745383396226245</v>
      </c>
      <c r="T17" s="144">
        <f t="shared" si="8"/>
        <v>2.0133189275655341</v>
      </c>
      <c r="U17" s="145">
        <f t="shared" si="12"/>
        <v>63.210662142998856</v>
      </c>
      <c r="V17" s="143">
        <f t="shared" si="4"/>
        <v>62.835781474348885</v>
      </c>
      <c r="W17" s="143">
        <f t="shared" si="5"/>
        <v>60.983261864206547</v>
      </c>
      <c r="X17" s="3">
        <f t="shared" si="9"/>
        <v>63.78662068491473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73">
        <v>0.5</v>
      </c>
      <c r="F18" s="173">
        <f t="shared" si="10"/>
        <v>0.5</v>
      </c>
      <c r="G18" s="138">
        <f>(1+E18/100)^(-B18)</f>
        <v>0.96568962982055562</v>
      </c>
      <c r="H18" s="115">
        <f>PRODUCT($D$12:D18)</f>
        <v>0.99284921734070164</v>
      </c>
      <c r="I18" s="115">
        <f t="shared" si="14"/>
        <v>0.95878419316137053</v>
      </c>
      <c r="J18" s="139">
        <f>$C$6*SUM(I17:$I$50)/(G17*H17)</f>
        <v>2166.3203130745701</v>
      </c>
      <c r="K18" s="140">
        <f t="shared" si="13"/>
        <v>1.2201270398097819E-3</v>
      </c>
      <c r="L18" s="115">
        <f t="shared" si="15"/>
        <v>1.1782640294079585E-3</v>
      </c>
      <c r="M18" s="141">
        <f>$C$3*SUM(L17:$L$51)/(G17*H17)</f>
        <v>2574.7038351404581</v>
      </c>
      <c r="N18" s="141">
        <f t="shared" si="6"/>
        <v>408.38352206588797</v>
      </c>
      <c r="O18" s="144">
        <v>0</v>
      </c>
      <c r="P18" s="143">
        <f t="shared" si="1"/>
        <v>12.201270398097819</v>
      </c>
      <c r="Q18" s="144">
        <f t="shared" si="2"/>
        <v>2.2523248385280001</v>
      </c>
      <c r="R18" s="144">
        <f t="shared" si="3"/>
        <v>0.81676704413177592</v>
      </c>
      <c r="S18" s="144">
        <f t="shared" si="7"/>
        <v>74.745383396226245</v>
      </c>
      <c r="T18" s="144">
        <f t="shared" si="8"/>
        <v>2.3392927159067831</v>
      </c>
      <c r="U18" s="145">
        <f t="shared" si="12"/>
        <v>61.814313831375429</v>
      </c>
      <c r="V18" s="143">
        <f t="shared" si="4"/>
        <v>61.372293107933601</v>
      </c>
      <c r="W18" s="143">
        <f t="shared" si="5"/>
        <v>59.266587012639036</v>
      </c>
      <c r="X18" s="3">
        <f t="shared" si="9"/>
        <v>62.45712944597846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73">
        <v>0.5</v>
      </c>
      <c r="F19" s="173">
        <f t="shared" si="10"/>
        <v>0.5</v>
      </c>
      <c r="G19" s="138">
        <f>(1+E19/100)^(-B19)</f>
        <v>0.96088520380154796</v>
      </c>
      <c r="H19" s="115">
        <f>PRODUCT($D$12:D19)</f>
        <v>0.99144316150046929</v>
      </c>
      <c r="I19" s="115">
        <f t="shared" si="14"/>
        <v>0.95266306429602943</v>
      </c>
      <c r="J19" s="139">
        <f>$C$6*SUM(I18:$I$50)/(G18*H18)</f>
        <v>2104.6160234282179</v>
      </c>
      <c r="K19" s="140">
        <f t="shared" si="13"/>
        <v>1.4060558402323453E-3</v>
      </c>
      <c r="L19" s="115">
        <f>K19*G19</f>
        <v>1.3510582525980139E-3</v>
      </c>
      <c r="M19" s="141">
        <f>$C$3*SUM(L18:$L$51)/(G18*H18)</f>
        <v>2579.9698977268545</v>
      </c>
      <c r="N19" s="141">
        <f t="shared" si="6"/>
        <v>475.35387429863658</v>
      </c>
      <c r="O19" s="144">
        <v>0</v>
      </c>
      <c r="P19" s="143">
        <f t="shared" si="1"/>
        <v>14.060558402323453</v>
      </c>
      <c r="Q19" s="144">
        <f t="shared" si="2"/>
        <v>2.2973713352985596</v>
      </c>
      <c r="R19" s="144">
        <f t="shared" si="3"/>
        <v>0.95070774859727314</v>
      </c>
      <c r="S19" s="144">
        <f t="shared" si="7"/>
        <v>74.745383396226245</v>
      </c>
      <c r="T19" s="144">
        <f t="shared" si="8"/>
        <v>2.6639531010432176</v>
      </c>
      <c r="U19" s="145">
        <f t="shared" si="12"/>
        <v>60.100699011050182</v>
      </c>
      <c r="V19" s="143">
        <f t="shared" si="4"/>
        <v>59.586427035903718</v>
      </c>
      <c r="W19" s="143">
        <f t="shared" si="5"/>
        <v>57.255716086200408</v>
      </c>
      <c r="X19" s="3">
        <f t="shared" si="9"/>
        <v>60.791675019995544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73">
        <v>0.5</v>
      </c>
      <c r="F20" s="173">
        <f t="shared" si="10"/>
        <v>0.5</v>
      </c>
      <c r="G20" s="138">
        <f>(1+E20/100)^(-B20)</f>
        <v>0.95610468039955032</v>
      </c>
      <c r="H20" s="115">
        <f>PRODUCT($D$12:D20)</f>
        <v>0.98989429002974061</v>
      </c>
      <c r="I20" s="115">
        <f t="shared" si="14"/>
        <v>0.94644256379822489</v>
      </c>
      <c r="J20" s="139">
        <f>$C$6*SUM(I19:$I$50)/(G19*H19)</f>
        <v>2042.91313137366</v>
      </c>
      <c r="K20" s="140">
        <f t="shared" si="13"/>
        <v>1.5488714707286855E-3</v>
      </c>
      <c r="L20" s="115">
        <f>K20*G20</f>
        <v>1.4808832625010312E-3</v>
      </c>
      <c r="M20" s="141">
        <f>$C$3*SUM(L19:$L$51)/(G19*H19)</f>
        <v>2584.1788232839403</v>
      </c>
      <c r="N20" s="141">
        <f t="shared" si="6"/>
        <v>541.26569191028034</v>
      </c>
      <c r="O20" s="144">
        <v>0</v>
      </c>
      <c r="P20" s="143">
        <f t="shared" si="1"/>
        <v>15.488714707286855</v>
      </c>
      <c r="Q20" s="144">
        <f t="shared" si="2"/>
        <v>2.343318762004531</v>
      </c>
      <c r="R20" s="144">
        <f t="shared" si="3"/>
        <v>1.0825313838205608</v>
      </c>
      <c r="S20" s="144">
        <f t="shared" si="7"/>
        <v>74.745383396226245</v>
      </c>
      <c r="T20" s="144">
        <f t="shared" si="8"/>
        <v>2.9854825522669732</v>
      </c>
      <c r="U20" s="145">
        <f t="shared" si="12"/>
        <v>58.81630109538127</v>
      </c>
      <c r="V20" s="143">
        <f t="shared" si="4"/>
        <v>58.221920614987894</v>
      </c>
      <c r="W20" s="143">
        <f t="shared" si="5"/>
        <v>55.666250801840988</v>
      </c>
      <c r="X20" s="3">
        <f t="shared" si="9"/>
        <v>59.548439980523028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73">
        <v>0.5</v>
      </c>
      <c r="F21" s="173">
        <f t="shared" si="10"/>
        <v>0.5</v>
      </c>
      <c r="G21" s="138">
        <f>(1+E21/100)^(-B21)</f>
        <v>0.95134794069607009</v>
      </c>
      <c r="H21" s="115">
        <f>PRODUCT($D$12:D21)</f>
        <v>0.98820462254350394</v>
      </c>
      <c r="I21" s="115">
        <f>H21*G21</f>
        <v>0.9401264326430997</v>
      </c>
      <c r="J21" s="139">
        <f>$C$6*SUM(I20:$I$50)/(G20*H20)</f>
        <v>1981.1035445321907</v>
      </c>
      <c r="K21" s="140">
        <f t="shared" si="13"/>
        <v>1.6896674862366678E-3</v>
      </c>
      <c r="L21" s="115">
        <f>K21*G21</f>
        <v>1.6074616834923594E-3</v>
      </c>
      <c r="M21" s="141">
        <f>$C$3*SUM(L20:$L$51)/(G20*H20)</f>
        <v>2586.8882355914157</v>
      </c>
      <c r="N21" s="141">
        <f t="shared" si="6"/>
        <v>605.784691059225</v>
      </c>
      <c r="O21" s="144">
        <v>0</v>
      </c>
      <c r="P21" s="143">
        <f t="shared" si="1"/>
        <v>16.89667486236668</v>
      </c>
      <c r="Q21" s="144">
        <f t="shared" si="2"/>
        <v>2.3901851372446217</v>
      </c>
      <c r="R21" s="144">
        <f t="shared" si="3"/>
        <v>1.2115693821184501</v>
      </c>
      <c r="S21" s="144">
        <f t="shared" si="7"/>
        <v>74.745383396226245</v>
      </c>
      <c r="T21" s="144">
        <f t="shared" si="8"/>
        <v>3.300158225368607</v>
      </c>
      <c r="U21" s="145">
        <f>S21+T21-O21-Q21-R21-P21</f>
        <v>57.547112239865086</v>
      </c>
      <c r="V21" s="143">
        <f t="shared" si="4"/>
        <v>56.868322329464533</v>
      </c>
      <c r="W21" s="143">
        <f t="shared" si="5"/>
        <v>54.101561338976424</v>
      </c>
      <c r="X21" s="3">
        <f t="shared" si="9"/>
        <v>58.309775957862442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73">
        <v>0.5</v>
      </c>
      <c r="F22" s="173">
        <f t="shared" si="10"/>
        <v>0.5</v>
      </c>
      <c r="G22" s="138">
        <f t="shared" si="11"/>
        <v>0.94661486636424896</v>
      </c>
      <c r="H22" s="115">
        <f>PRODUCT($D$12:D22)</f>
        <v>0.98643332382785143</v>
      </c>
      <c r="I22" s="115">
        <f t="shared" si="14"/>
        <v>0.93377244901254353</v>
      </c>
      <c r="J22" s="139">
        <f>$C$6*SUM(I21:$I$50)/(G21*H21)</f>
        <v>1919.1658088696061</v>
      </c>
      <c r="K22" s="140">
        <f t="shared" si="13"/>
        <v>1.771298715652514E-3</v>
      </c>
      <c r="L22" s="115">
        <f t="shared" si="15"/>
        <v>1.6767376970085704E-3</v>
      </c>
      <c r="M22" s="141">
        <f>$C$3*SUM(L21:$L$51)/(G21*H21)</f>
        <v>2588.5159876697535</v>
      </c>
      <c r="N22" s="141">
        <f t="shared" si="6"/>
        <v>669.35017880014743</v>
      </c>
      <c r="O22" s="144">
        <v>0</v>
      </c>
      <c r="P22" s="143">
        <f t="shared" si="1"/>
        <v>17.712987156525138</v>
      </c>
      <c r="Q22" s="144">
        <f t="shared" si="2"/>
        <v>2.4379888399895142</v>
      </c>
      <c r="R22" s="144">
        <f t="shared" si="3"/>
        <v>1.3387003576002949</v>
      </c>
      <c r="S22" s="144">
        <f t="shared" si="7"/>
        <v>74.745383396226245</v>
      </c>
      <c r="T22" s="144">
        <f t="shared" si="8"/>
        <v>3.6130294292112932</v>
      </c>
      <c r="U22" s="145">
        <f t="shared" si="12"/>
        <v>56.868736471322599</v>
      </c>
      <c r="V22" s="143">
        <f t="shared" si="4"/>
        <v>56.097216739296911</v>
      </c>
      <c r="W22" s="143">
        <f t="shared" si="5"/>
        <v>53.102459327075856</v>
      </c>
      <c r="X22" s="3">
        <f t="shared" si="9"/>
        <v>57.663283196020153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73">
        <v>0.5</v>
      </c>
      <c r="F23" s="173">
        <f t="shared" si="10"/>
        <v>0.5</v>
      </c>
      <c r="G23" s="138">
        <f t="shared" si="11"/>
        <v>0.94190533966591972</v>
      </c>
      <c r="H23" s="115">
        <f>PRODUCT($D$12:D23)</f>
        <v>0.98449893900552066</v>
      </c>
      <c r="I23" s="115">
        <f t="shared" si="14"/>
        <v>0.92730480754473255</v>
      </c>
      <c r="J23" s="139">
        <f>$C$6*SUM(I22:$I$50)/(G22*H22)</f>
        <v>1856.9710390663536</v>
      </c>
      <c r="K23" s="140">
        <f t="shared" si="13"/>
        <v>1.9343848223307702E-3</v>
      </c>
      <c r="L23" s="115">
        <f t="shared" si="15"/>
        <v>1.8220073931220638E-3</v>
      </c>
      <c r="M23" s="141">
        <f>$C$3*SUM(L22:$L$51)/(G22*H22)</f>
        <v>2588.9151977541346</v>
      </c>
      <c r="N23" s="141">
        <f t="shared" si="6"/>
        <v>731.94415868778106</v>
      </c>
      <c r="O23" s="144">
        <v>0</v>
      </c>
      <c r="P23" s="143">
        <f t="shared" si="1"/>
        <v>19.343848223307702</v>
      </c>
      <c r="Q23" s="144">
        <f t="shared" si="2"/>
        <v>2.486748616789304</v>
      </c>
      <c r="R23" s="144">
        <f t="shared" si="3"/>
        <v>1.4638883173755621</v>
      </c>
      <c r="S23" s="144">
        <f t="shared" si="7"/>
        <v>74.745383396226245</v>
      </c>
      <c r="T23" s="144">
        <f t="shared" si="8"/>
        <v>3.9169752846326737</v>
      </c>
      <c r="U23" s="145">
        <f t="shared" si="12"/>
        <v>55.367873523386351</v>
      </c>
      <c r="V23" s="143">
        <f t="shared" si="4"/>
        <v>54.509612738765718</v>
      </c>
      <c r="W23" s="143">
        <f t="shared" si="5"/>
        <v>51.342895301764869</v>
      </c>
      <c r="X23" s="3">
        <f t="shared" si="9"/>
        <v>56.171787510448368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73">
        <v>0.5</v>
      </c>
      <c r="F24" s="173">
        <f t="shared" si="10"/>
        <v>0.5</v>
      </c>
      <c r="G24" s="138">
        <f t="shared" si="11"/>
        <v>0.93721924344867635</v>
      </c>
      <c r="H24" s="115">
        <f>PRODUCT($D$12:D24)</f>
        <v>0.98234137479650641</v>
      </c>
      <c r="I24" s="115">
        <f t="shared" si="14"/>
        <v>0.92066924009511431</v>
      </c>
      <c r="J24" s="139">
        <f>$C$6*SUM(I23:$I$50)/(G23*H23)</f>
        <v>1794.6560846529433</v>
      </c>
      <c r="K24" s="140">
        <f t="shared" si="13"/>
        <v>2.1575642090142511E-3</v>
      </c>
      <c r="L24" s="115">
        <f t="shared" si="15"/>
        <v>2.0221106956642781E-3</v>
      </c>
      <c r="M24" s="141">
        <f>$C$3*SUM(L23:$L$51)/(G23*H23)</f>
        <v>2588.8901771996675</v>
      </c>
      <c r="N24" s="141">
        <f t="shared" si="6"/>
        <v>794.23409254672424</v>
      </c>
      <c r="O24" s="144">
        <v>0</v>
      </c>
      <c r="P24" s="143">
        <f t="shared" si="1"/>
        <v>21.575642090142509</v>
      </c>
      <c r="Q24" s="144">
        <f t="shared" si="2"/>
        <v>2.5364835891250905</v>
      </c>
      <c r="R24" s="144">
        <f t="shared" si="3"/>
        <v>1.5884681850934486</v>
      </c>
      <c r="S24" s="144">
        <f t="shared" si="7"/>
        <v>74.745383396226245</v>
      </c>
      <c r="T24" s="144">
        <f t="shared" si="8"/>
        <v>4.2163944103929474</v>
      </c>
      <c r="U24" s="145">
        <f t="shared" si="12"/>
        <v>53.261183942258143</v>
      </c>
      <c r="V24" s="143">
        <f t="shared" si="4"/>
        <v>52.320664657127473</v>
      </c>
      <c r="W24" s="143">
        <f t="shared" si="5"/>
        <v>49.035933746684911</v>
      </c>
      <c r="X24" s="3">
        <f t="shared" si="9"/>
        <v>54.051219355261338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73">
        <v>0.5</v>
      </c>
      <c r="F25" s="173">
        <f t="shared" si="10"/>
        <v>0.5</v>
      </c>
      <c r="G25" s="138">
        <f t="shared" si="11"/>
        <v>0.93255646114296176</v>
      </c>
      <c r="H25" s="115">
        <f>PRODUCT($D$12:D25)</f>
        <v>0.97987941659878797</v>
      </c>
      <c r="I25" s="115">
        <f t="shared" si="14"/>
        <v>0.91379288109019563</v>
      </c>
      <c r="J25" s="139">
        <f>$C$6*SUM(I24:$I$50)/(G24*H24)</f>
        <v>1732.3066660272248</v>
      </c>
      <c r="K25" s="140">
        <f t="shared" si="13"/>
        <v>2.461958197718439E-3</v>
      </c>
      <c r="L25" s="115">
        <f t="shared" si="15"/>
        <v>2.2959150243462116E-3</v>
      </c>
      <c r="M25" s="141">
        <f>$C$3*SUM(L24:$L$51)/(G24*H24)</f>
        <v>2587.7591319823309</v>
      </c>
      <c r="N25" s="141">
        <f t="shared" si="6"/>
        <v>855.45246595510616</v>
      </c>
      <c r="O25" s="144">
        <v>0</v>
      </c>
      <c r="P25" s="143">
        <f t="shared" si="1"/>
        <v>24.619581977184389</v>
      </c>
      <c r="Q25" s="144">
        <f t="shared" si="2"/>
        <v>2.5872132609075922</v>
      </c>
      <c r="R25" s="144">
        <f t="shared" si="3"/>
        <v>1.7109049319102123</v>
      </c>
      <c r="S25" s="144">
        <f t="shared" si="7"/>
        <v>74.745383396226245</v>
      </c>
      <c r="T25" s="144">
        <f t="shared" si="8"/>
        <v>4.5064007459066513</v>
      </c>
      <c r="U25" s="145">
        <f t="shared" si="12"/>
        <v>50.334083972130706</v>
      </c>
      <c r="V25" s="143">
        <f t="shared" si="4"/>
        <v>49.321332837645841</v>
      </c>
      <c r="W25" s="143">
        <f t="shared" si="5"/>
        <v>45.994927609929157</v>
      </c>
      <c r="X25" s="3">
        <f t="shared" si="9"/>
        <v>51.080382800240244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73">
        <v>0.5</v>
      </c>
      <c r="F26" s="173">
        <f t="shared" si="10"/>
        <v>0.5</v>
      </c>
      <c r="G26" s="138">
        <f t="shared" si="11"/>
        <v>0.92791687675916612</v>
      </c>
      <c r="H26" s="115">
        <f>PRODUCT($D$12:D26)</f>
        <v>0.97718549882519523</v>
      </c>
      <c r="I26" s="115">
        <f t="shared" si="14"/>
        <v>0.90674691608422298</v>
      </c>
      <c r="J26" s="139">
        <f>$C$6*SUM(I25:$I$50)/(G25*H25)</f>
        <v>1670.034553858967</v>
      </c>
      <c r="K26" s="140">
        <f t="shared" si="13"/>
        <v>2.6939177735927355E-3</v>
      </c>
      <c r="L26" s="115">
        <f t="shared" si="15"/>
        <v>2.4997317667181775E-3</v>
      </c>
      <c r="M26" s="141">
        <f>$C$3*SUM(L25:$L$51)/(G25*H25)</f>
        <v>2585.1034468734906</v>
      </c>
      <c r="N26" s="141">
        <f t="shared" si="6"/>
        <v>915.06889301452361</v>
      </c>
      <c r="O26" s="144">
        <v>0</v>
      </c>
      <c r="P26" s="143">
        <f t="shared" si="1"/>
        <v>26.939177735927355</v>
      </c>
      <c r="Q26" s="144">
        <f t="shared" si="2"/>
        <v>2.6389575261257443</v>
      </c>
      <c r="R26" s="144">
        <f t="shared" si="3"/>
        <v>1.8301377860290473</v>
      </c>
      <c r="S26" s="144">
        <f t="shared" si="7"/>
        <v>74.745383396226245</v>
      </c>
      <c r="T26" s="144">
        <f t="shared" si="8"/>
        <v>4.7920300168133387</v>
      </c>
      <c r="U26" s="145">
        <f t="shared" si="12"/>
        <v>48.129140364957436</v>
      </c>
      <c r="V26" s="143">
        <f t="shared" si="4"/>
        <v>47.03109803555877</v>
      </c>
      <c r="W26" s="143">
        <f t="shared" si="5"/>
        <v>43.640949599709849</v>
      </c>
      <c r="X26" s="3">
        <f t="shared" si="9"/>
        <v>48.830542916375848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73">
        <v>0.5</v>
      </c>
      <c r="F27" s="173">
        <f t="shared" si="10"/>
        <v>0.5</v>
      </c>
      <c r="G27" s="138">
        <f t="shared" si="11"/>
        <v>0.92330037488474248</v>
      </c>
      <c r="H27" s="115">
        <f>PRODUCT($D$12:D27)</f>
        <v>0.97429439263230044</v>
      </c>
      <c r="I27" s="115">
        <f t="shared" si="14"/>
        <v>0.89956637796550554</v>
      </c>
      <c r="J27" s="139">
        <f>$C$6*SUM(I26:$I$50)/(G26*H26)</f>
        <v>1607.6855199513382</v>
      </c>
      <c r="K27" s="140">
        <f t="shared" si="13"/>
        <v>2.8911061928947879E-3</v>
      </c>
      <c r="L27" s="115">
        <f t="shared" si="15"/>
        <v>2.6693594317313582E-3</v>
      </c>
      <c r="M27" s="141">
        <f>$C$3*SUM(L26:$L$51)/(G26*H26)</f>
        <v>2579.8708932956283</v>
      </c>
      <c r="N27" s="141">
        <f t="shared" si="6"/>
        <v>972.18537334429016</v>
      </c>
      <c r="O27" s="144">
        <v>0</v>
      </c>
      <c r="P27" s="143">
        <f t="shared" si="1"/>
        <v>28.911061928947881</v>
      </c>
      <c r="Q27" s="144">
        <f t="shared" si="2"/>
        <v>2.6917366766482584</v>
      </c>
      <c r="R27" s="144">
        <f t="shared" si="3"/>
        <v>1.9443707466885805</v>
      </c>
      <c r="S27" s="144">
        <f t="shared" si="7"/>
        <v>74.745383396226245</v>
      </c>
      <c r="T27" s="144">
        <f t="shared" si="8"/>
        <v>5.0669179369411586</v>
      </c>
      <c r="U27" s="145">
        <f t="shared" si="12"/>
        <v>46.265131980882678</v>
      </c>
      <c r="V27" s="143">
        <f t="shared" si="4"/>
        <v>45.075858663367306</v>
      </c>
      <c r="W27" s="143">
        <f t="shared" si="5"/>
        <v>41.618557202138703</v>
      </c>
      <c r="X27" s="3">
        <f t="shared" si="9"/>
        <v>46.917789100580073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73">
        <v>0.5</v>
      </c>
      <c r="F28" s="173">
        <f t="shared" si="10"/>
        <v>0.5</v>
      </c>
      <c r="G28" s="138">
        <f t="shared" si="11"/>
        <v>0.9187068406813359</v>
      </c>
      <c r="H28" s="115">
        <f>PRODUCT($D$12:D28)</f>
        <v>0.97101924835240661</v>
      </c>
      <c r="I28" s="115">
        <f t="shared" si="14"/>
        <v>0.89208202589460495</v>
      </c>
      <c r="J28" s="139">
        <f>$C$6*SUM(I27:$I$50)/(G27*H27)</f>
        <v>1545.1764043324163</v>
      </c>
      <c r="K28" s="140">
        <f t="shared" si="13"/>
        <v>3.2751442798938379E-3</v>
      </c>
      <c r="L28" s="115">
        <f t="shared" si="15"/>
        <v>3.0088974541568167E-3</v>
      </c>
      <c r="M28" s="141">
        <f>$C$3*SUM(L27:$L$51)/(G27*H27)</f>
        <v>2572.6758084913909</v>
      </c>
      <c r="N28" s="141">
        <f t="shared" si="6"/>
        <v>1027.4994041589746</v>
      </c>
      <c r="O28" s="144">
        <v>0</v>
      </c>
      <c r="P28" s="143">
        <f t="shared" si="1"/>
        <v>32.751442798938378</v>
      </c>
      <c r="Q28" s="144">
        <f t="shared" si="2"/>
        <v>2.7455714101812241</v>
      </c>
      <c r="R28" s="144">
        <f t="shared" si="3"/>
        <v>2.0549988083179493</v>
      </c>
      <c r="S28" s="144">
        <f t="shared" si="7"/>
        <v>74.745383396226245</v>
      </c>
      <c r="T28" s="144">
        <f t="shared" si="8"/>
        <v>5.3234638726888175</v>
      </c>
      <c r="U28" s="145">
        <f t="shared" si="12"/>
        <v>42.516834251477512</v>
      </c>
      <c r="V28" s="143">
        <f t="shared" si="4"/>
        <v>41.284664437193548</v>
      </c>
      <c r="W28" s="143">
        <f t="shared" si="5"/>
        <v>37.928503633683185</v>
      </c>
      <c r="X28" s="3">
        <f t="shared" si="9"/>
        <v>43.079374108009524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73">
        <v>0.5</v>
      </c>
      <c r="F29" s="173">
        <f t="shared" si="10"/>
        <v>0.5</v>
      </c>
      <c r="G29" s="138">
        <f t="shared" si="11"/>
        <v>0.91413615988192654</v>
      </c>
      <c r="H29" s="115">
        <f>PRODUCT($D$12:D29)</f>
        <v>0.96730639780222649</v>
      </c>
      <c r="I29" s="115">
        <f t="shared" si="14"/>
        <v>0.88424975591614652</v>
      </c>
      <c r="J29" s="139">
        <f>$C$6*SUM(I28:$I$50)/(G28*H28)</f>
        <v>1482.7675809578134</v>
      </c>
      <c r="K29" s="140">
        <f t="shared" si="13"/>
        <v>3.7128505501801135E-3</v>
      </c>
      <c r="L29" s="115">
        <f t="shared" si="15"/>
        <v>3.394050944157147E-3</v>
      </c>
      <c r="M29" s="141">
        <f>$C$3*SUM(L28:$L$51)/(G28*H28)</f>
        <v>2564.3371326898964</v>
      </c>
      <c r="N29" s="141">
        <f t="shared" si="6"/>
        <v>1081.569551732083</v>
      </c>
      <c r="O29" s="144">
        <v>0</v>
      </c>
      <c r="P29" s="143">
        <f t="shared" si="1"/>
        <v>37.128505501801136</v>
      </c>
      <c r="Q29" s="144">
        <f t="shared" si="2"/>
        <v>2.8004828383848488</v>
      </c>
      <c r="R29" s="144">
        <f t="shared" si="3"/>
        <v>2.1631391034641663</v>
      </c>
      <c r="S29" s="144">
        <f t="shared" si="7"/>
        <v>74.745383396226245</v>
      </c>
      <c r="T29" s="144">
        <f t="shared" si="8"/>
        <v>5.5711140384232962</v>
      </c>
      <c r="U29" s="145">
        <f t="shared" si="12"/>
        <v>38.224369990999385</v>
      </c>
      <c r="V29" s="143">
        <f t="shared" si="4"/>
        <v>36.974677644253141</v>
      </c>
      <c r="W29" s="143">
        <f t="shared" si="5"/>
        <v>33.799889834589685</v>
      </c>
      <c r="X29" s="3">
        <f t="shared" si="9"/>
        <v>38.678722176703708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73">
        <v>0.5</v>
      </c>
      <c r="F30" s="173">
        <f t="shared" si="10"/>
        <v>0.5</v>
      </c>
      <c r="G30" s="138">
        <f t="shared" si="11"/>
        <v>0.90958821878798668</v>
      </c>
      <c r="H30" s="115">
        <f>PRODUCT($D$12:D30)</f>
        <v>0.96309783319744502</v>
      </c>
      <c r="I30" s="115">
        <f t="shared" si="14"/>
        <v>0.87602244261663353</v>
      </c>
      <c r="J30" s="139">
        <f>$C$6*SUM(I29:$I$50)/(G29*H29)</f>
        <v>1420.4937983883688</v>
      </c>
      <c r="K30" s="140">
        <f t="shared" si="13"/>
        <v>4.2085646047814729E-3</v>
      </c>
      <c r="L30" s="115">
        <f t="shared" si="15"/>
        <v>3.8280607825173472E-3</v>
      </c>
      <c r="M30" s="141">
        <f>$C$3*SUM(L29:$L$51)/(G29*H29)</f>
        <v>2553.0231416646011</v>
      </c>
      <c r="N30" s="141">
        <f t="shared" si="6"/>
        <v>1132.5293432762323</v>
      </c>
      <c r="O30" s="144">
        <v>0</v>
      </c>
      <c r="P30" s="143">
        <f t="shared" si="1"/>
        <v>42.085646047814727</v>
      </c>
      <c r="Q30" s="144">
        <f t="shared" si="2"/>
        <v>2.8564924951525454</v>
      </c>
      <c r="R30" s="144">
        <f t="shared" si="3"/>
        <v>2.2650586865524649</v>
      </c>
      <c r="S30" s="144">
        <f t="shared" si="7"/>
        <v>74.745383396226245</v>
      </c>
      <c r="T30" s="144">
        <f t="shared" si="8"/>
        <v>5.8003376472146959</v>
      </c>
      <c r="U30" s="145">
        <f t="shared" si="12"/>
        <v>33.338523813921192</v>
      </c>
      <c r="V30" s="143">
        <f t="shared" si="4"/>
        <v>32.108260047188921</v>
      </c>
      <c r="W30" s="143">
        <f t="shared" si="5"/>
        <v>29.205295064704046</v>
      </c>
      <c r="X30" s="3">
        <f t="shared" si="9"/>
        <v>33.672207489273426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73">
        <v>0.5</v>
      </c>
      <c r="F31" s="173">
        <f t="shared" si="10"/>
        <v>0.5</v>
      </c>
      <c r="G31" s="138">
        <f t="shared" si="11"/>
        <v>0.90506290426665348</v>
      </c>
      <c r="H31" s="115">
        <f>PRODUCT($D$12:D31)</f>
        <v>0.9584939744600528</v>
      </c>
      <c r="I31" s="115">
        <f t="shared" si="14"/>
        <v>0.86749734024690295</v>
      </c>
      <c r="J31" s="139">
        <f>$C$6*SUM(I30:$I$50)/(G30*H30)</f>
        <v>1358.3872394032983</v>
      </c>
      <c r="K31" s="140">
        <f t="shared" si="13"/>
        <v>4.6038587373922191E-3</v>
      </c>
      <c r="L31" s="115">
        <f t="shared" si="15"/>
        <v>4.16678175969761E-3</v>
      </c>
      <c r="M31" s="141">
        <f>$C$3*SUM(L30:$L$51)/(G30*H30)</f>
        <v>2538.2564101690577</v>
      </c>
      <c r="N31" s="141">
        <f t="shared" si="6"/>
        <v>1179.8691707657595</v>
      </c>
      <c r="O31" s="144">
        <v>0</v>
      </c>
      <c r="P31" s="143">
        <f t="shared" si="1"/>
        <v>46.038587373922191</v>
      </c>
      <c r="Q31" s="144">
        <f t="shared" si="2"/>
        <v>2.9136223450555963</v>
      </c>
      <c r="R31" s="144">
        <f t="shared" si="3"/>
        <v>2.3597383415315192</v>
      </c>
      <c r="S31" s="144">
        <f t="shared" si="7"/>
        <v>74.745383396226245</v>
      </c>
      <c r="T31" s="144">
        <f t="shared" si="8"/>
        <v>6.0165130305073831</v>
      </c>
      <c r="U31" s="145">
        <f t="shared" si="12"/>
        <v>29.449948366224312</v>
      </c>
      <c r="V31" s="143">
        <f t="shared" si="4"/>
        <v>28.227598057185681</v>
      </c>
      <c r="W31" s="143">
        <f t="shared" si="5"/>
        <v>25.547751878108219</v>
      </c>
      <c r="X31" s="3">
        <f t="shared" si="9"/>
        <v>29.676715791353807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73">
        <v>0.5</v>
      </c>
      <c r="F32" s="173">
        <f t="shared" si="10"/>
        <v>0.5</v>
      </c>
      <c r="G32" s="138">
        <f t="shared" si="11"/>
        <v>0.90056010374791418</v>
      </c>
      <c r="H32" s="115">
        <f>PRODUCT($D$12:D32)</f>
        <v>0.95334846950538654</v>
      </c>
      <c r="I32" s="115">
        <f t="shared" si="14"/>
        <v>0.85854759660568614</v>
      </c>
      <c r="J32" s="139">
        <f>$C$6*SUM(I31:$I$50)/(G31*H31)</f>
        <v>1296.2565093562298</v>
      </c>
      <c r="K32" s="140">
        <f t="shared" si="13"/>
        <v>5.1455049546662579E-3</v>
      </c>
      <c r="L32" s="115">
        <f t="shared" si="15"/>
        <v>4.6338364758096518E-3</v>
      </c>
      <c r="M32" s="141">
        <f>$C$3*SUM(L31:$L$51)/(G31*H31)</f>
        <v>2519.0728215679437</v>
      </c>
      <c r="N32" s="141">
        <f t="shared" si="6"/>
        <v>1222.8163122117139</v>
      </c>
      <c r="O32" s="144">
        <v>0</v>
      </c>
      <c r="P32" s="143">
        <f t="shared" si="1"/>
        <v>51.455049546662579</v>
      </c>
      <c r="Q32" s="144">
        <f t="shared" si="2"/>
        <v>2.9718947919567085</v>
      </c>
      <c r="R32" s="144">
        <f t="shared" si="3"/>
        <v>2.4456326244234279</v>
      </c>
      <c r="S32" s="144">
        <f t="shared" si="7"/>
        <v>74.745383396226245</v>
      </c>
      <c r="T32" s="144">
        <f t="shared" si="8"/>
        <v>6.2034455932244876</v>
      </c>
      <c r="U32" s="145">
        <f t="shared" si="12"/>
        <v>24.076252026408014</v>
      </c>
      <c r="V32" s="143">
        <f t="shared" si="4"/>
        <v>22.95305802080204</v>
      </c>
      <c r="W32" s="143">
        <f t="shared" si="5"/>
        <v>20.670608312545379</v>
      </c>
      <c r="X32" s="3">
        <f t="shared" si="9"/>
        <v>24.191876846270471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73">
        <v>0.5</v>
      </c>
      <c r="F33" s="173">
        <f t="shared" si="10"/>
        <v>0.5</v>
      </c>
      <c r="G33" s="138">
        <f t="shared" si="11"/>
        <v>0.89607970522180524</v>
      </c>
      <c r="H33" s="115">
        <f>PRODUCT($D$12:D33)</f>
        <v>0.94778226433062707</v>
      </c>
      <c r="I33" s="115">
        <f t="shared" si="14"/>
        <v>0.84928845203584336</v>
      </c>
      <c r="J33" s="139">
        <f>$C$6*SUM(I32:$I$50)/(G32*H32)</f>
        <v>1234.244504371937</v>
      </c>
      <c r="K33" s="140">
        <f t="shared" si="13"/>
        <v>5.5662051747594754E-3</v>
      </c>
      <c r="L33" s="115">
        <f t="shared" si="15"/>
        <v>4.9877634922025574E-3</v>
      </c>
      <c r="M33" s="141">
        <f>$C$3*SUM(L32:$L$51)/(G32*H32)</f>
        <v>2496.7994360200842</v>
      </c>
      <c r="N33" s="141">
        <f t="shared" si="6"/>
        <v>1262.5549316481472</v>
      </c>
      <c r="O33" s="144">
        <v>0</v>
      </c>
      <c r="P33" s="143">
        <f t="shared" si="1"/>
        <v>55.662051747594752</v>
      </c>
      <c r="Q33" s="144">
        <f t="shared" si="2"/>
        <v>3.0313326877958424</v>
      </c>
      <c r="R33" s="144">
        <f t="shared" si="3"/>
        <v>2.5251098632962945</v>
      </c>
      <c r="S33" s="144">
        <f t="shared" si="7"/>
        <v>74.745383396226245</v>
      </c>
      <c r="T33" s="144">
        <f t="shared" si="8"/>
        <v>6.3804091037284332</v>
      </c>
      <c r="U33" s="145">
        <f t="shared" si="12"/>
        <v>19.9072982012678</v>
      </c>
      <c r="V33" s="143">
        <f t="shared" si="4"/>
        <v>18.867784165902613</v>
      </c>
      <c r="W33" s="143">
        <f t="shared" si="5"/>
        <v>16.907038473570658</v>
      </c>
      <c r="X33" s="3">
        <f t="shared" si="9"/>
        <v>19.935953118333178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73">
        <v>0.5</v>
      </c>
      <c r="F34" s="173">
        <f t="shared" si="10"/>
        <v>0.5</v>
      </c>
      <c r="G34" s="138">
        <f t="shared" si="11"/>
        <v>0.89162159723562728</v>
      </c>
      <c r="H34" s="115">
        <f>PRODUCT($D$12:D34)</f>
        <v>0.94172175522327528</v>
      </c>
      <c r="I34" s="115">
        <f t="shared" si="14"/>
        <v>0.83965945554371513</v>
      </c>
      <c r="J34" s="139">
        <f>$C$6*SUM(I33:$I$50)/(G33*H33)</f>
        <v>1172.1402559917167</v>
      </c>
      <c r="K34" s="140">
        <f t="shared" si="13"/>
        <v>6.0605091073517858E-3</v>
      </c>
      <c r="L34" s="115">
        <f t="shared" si="15"/>
        <v>5.4036808103580646E-3</v>
      </c>
      <c r="M34" s="141">
        <f>$C$3*SUM(L33:$L$51)/(G33*H33)</f>
        <v>2469.458739508289</v>
      </c>
      <c r="N34" s="141">
        <f t="shared" si="6"/>
        <v>1297.3184835165723</v>
      </c>
      <c r="O34" s="144">
        <v>0</v>
      </c>
      <c r="P34" s="143">
        <f t="shared" si="1"/>
        <v>60.605091073517855</v>
      </c>
      <c r="Q34" s="144">
        <f t="shared" si="2"/>
        <v>3.0919593415517594</v>
      </c>
      <c r="R34" s="144">
        <f t="shared" si="3"/>
        <v>2.5946369670331446</v>
      </c>
      <c r="S34" s="144">
        <f t="shared" si="7"/>
        <v>74.745383396226245</v>
      </c>
      <c r="T34" s="144">
        <f t="shared" si="8"/>
        <v>6.5288608976534794</v>
      </c>
      <c r="U34" s="145">
        <f t="shared" si="12"/>
        <v>14.982556911776967</v>
      </c>
      <c r="V34" s="143">
        <f t="shared" si="4"/>
        <v>14.109399792691221</v>
      </c>
      <c r="W34" s="143">
        <f t="shared" si="5"/>
        <v>12.580245579195374</v>
      </c>
      <c r="X34" s="3">
        <f t="shared" si="9"/>
        <v>14.945544404184259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73">
        <v>0.5</v>
      </c>
      <c r="F35" s="173">
        <f t="shared" si="10"/>
        <v>0.5</v>
      </c>
      <c r="G35" s="138">
        <f t="shared" si="11"/>
        <v>0.88718566889117134</v>
      </c>
      <c r="H35" s="115">
        <f>PRODUCT($D$12:D35)</f>
        <v>0.93514321995631577</v>
      </c>
      <c r="I35" s="115">
        <f t="shared" si="14"/>
        <v>0.82964566310598775</v>
      </c>
      <c r="J35" s="139">
        <f>$C$6*SUM(I34:$I$50)/(G34*H34)</f>
        <v>1109.979511890547</v>
      </c>
      <c r="K35" s="140">
        <f t="shared" si="13"/>
        <v>6.5785352669595065E-3</v>
      </c>
      <c r="L35" s="115">
        <f t="shared" si="15"/>
        <v>5.8363822111416304E-3</v>
      </c>
      <c r="M35" s="141">
        <f>$C$3*SUM(L34:$L$51)/(G34*H34)</f>
        <v>2438.3756316965096</v>
      </c>
      <c r="N35" s="141">
        <f t="shared" si="6"/>
        <v>1328.3961198059626</v>
      </c>
      <c r="O35" s="144">
        <v>0</v>
      </c>
      <c r="P35" s="143">
        <f t="shared" si="1"/>
        <v>65.785352669595071</v>
      </c>
      <c r="Q35" s="144">
        <f t="shared" si="2"/>
        <v>3.1537985283827941</v>
      </c>
      <c r="R35" s="144">
        <f t="shared" si="3"/>
        <v>2.6567922396119252</v>
      </c>
      <c r="S35" s="144">
        <f t="shared" si="7"/>
        <v>74.745383396226245</v>
      </c>
      <c r="T35" s="144">
        <f t="shared" si="8"/>
        <v>6.6577277988229957</v>
      </c>
      <c r="U35" s="145">
        <f t="shared" si="12"/>
        <v>9.8071677574594389</v>
      </c>
      <c r="V35" s="143">
        <f t="shared" si="4"/>
        <v>9.1711064353623808</v>
      </c>
      <c r="W35" s="143">
        <f t="shared" si="5"/>
        <v>8.1364741973291004</v>
      </c>
      <c r="X35" s="3">
        <f t="shared" si="9"/>
        <v>9.7389475985689344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73">
        <v>0.5</v>
      </c>
      <c r="F36" s="173">
        <f t="shared" si="10"/>
        <v>0.5</v>
      </c>
      <c r="G36" s="138">
        <f t="shared" si="11"/>
        <v>0.8827718098419618</v>
      </c>
      <c r="H36" s="115">
        <f>PRODUCT($D$12:D36)</f>
        <v>0.92768528834132047</v>
      </c>
      <c r="I36" s="115">
        <f t="shared" si="14"/>
        <v>0.81893442095282964</v>
      </c>
      <c r="J36" s="139">
        <f>$C$6*SUM(I35:$I$50)/(G35*H35)</f>
        <v>1047.7293660977859</v>
      </c>
      <c r="K36" s="140">
        <f t="shared" si="13"/>
        <v>7.4579316149953057E-3</v>
      </c>
      <c r="L36" s="115">
        <f t="shared" si="15"/>
        <v>6.5836517894469907E-3</v>
      </c>
      <c r="M36" s="141">
        <f>$C$3*SUM(L35:$L$51)/(G35*H35)</f>
        <v>2402.674341423176</v>
      </c>
      <c r="N36" s="141">
        <f t="shared" si="6"/>
        <v>1354.94497532539</v>
      </c>
      <c r="O36" s="144">
        <v>0</v>
      </c>
      <c r="P36" s="143">
        <f t="shared" si="1"/>
        <v>74.579316149953058</v>
      </c>
      <c r="Q36" s="144">
        <f t="shared" si="2"/>
        <v>3.2168744989504501</v>
      </c>
      <c r="R36" s="144">
        <f t="shared" si="3"/>
        <v>2.7098899506507803</v>
      </c>
      <c r="S36" s="144">
        <f t="shared" si="7"/>
        <v>74.745383396226245</v>
      </c>
      <c r="T36" s="144">
        <f t="shared" si="8"/>
        <v>6.7459213906103122</v>
      </c>
      <c r="U36" s="145">
        <f t="shared" si="12"/>
        <v>0.98522418728227024</v>
      </c>
      <c r="V36" s="143">
        <f t="shared" si="4"/>
        <v>0.91397798425979593</v>
      </c>
      <c r="W36" s="143">
        <f t="shared" si="5"/>
        <v>0.80683399932072808</v>
      </c>
      <c r="X36" s="3">
        <f t="shared" si="9"/>
        <v>0.97300063944403004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73">
        <v>0.5</v>
      </c>
      <c r="F37" s="173">
        <f t="shared" si="10"/>
        <v>0.5</v>
      </c>
      <c r="G37" s="138">
        <f t="shared" si="11"/>
        <v>0.87837991029050932</v>
      </c>
      <c r="H37" s="115">
        <f>PRODUCT($D$12:D37)</f>
        <v>0.91935247309226886</v>
      </c>
      <c r="I37" s="115">
        <f t="shared" si="14"/>
        <v>0.80754074284014499</v>
      </c>
      <c r="J37" s="139">
        <f>$C$6*SUM(I36:$I$50)/(G36*H36)</f>
        <v>985.71011410257574</v>
      </c>
      <c r="K37" s="140">
        <f t="shared" si="13"/>
        <v>8.3328152490516061E-3</v>
      </c>
      <c r="L37" s="115">
        <f t="shared" si="15"/>
        <v>7.3193775109293381E-3</v>
      </c>
      <c r="M37" s="141">
        <f>$C$3*SUM(L36:$L$51)/(G36*H36)</f>
        <v>2362.8320847168452</v>
      </c>
      <c r="N37" s="141">
        <f t="shared" si="6"/>
        <v>1377.1219706142695</v>
      </c>
      <c r="O37" s="144">
        <v>0</v>
      </c>
      <c r="P37" s="143">
        <f t="shared" si="1"/>
        <v>83.328152490516061</v>
      </c>
      <c r="Q37" s="144">
        <f t="shared" si="2"/>
        <v>3.2812119889294591</v>
      </c>
      <c r="R37" s="144">
        <f t="shared" si="3"/>
        <v>2.7542439412285389</v>
      </c>
      <c r="S37" s="144">
        <f t="shared" si="7"/>
        <v>74.745383396226245</v>
      </c>
      <c r="T37" s="144">
        <f t="shared" si="8"/>
        <v>6.812518727949108</v>
      </c>
      <c r="U37" s="145">
        <f t="shared" si="12"/>
        <v>-7.8057062964986983</v>
      </c>
      <c r="V37" s="143">
        <f t="shared" si="4"/>
        <v>-7.1761953879179732</v>
      </c>
      <c r="W37" s="143">
        <f t="shared" si="5"/>
        <v>-6.3034258610665557</v>
      </c>
      <c r="X37" s="3">
        <f t="shared" si="9"/>
        <v>-7.6587649573228731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73">
        <v>0.5</v>
      </c>
      <c r="F38" s="173">
        <f t="shared" si="10"/>
        <v>0.5</v>
      </c>
      <c r="G38" s="138">
        <f t="shared" si="11"/>
        <v>0.87400986098558153</v>
      </c>
      <c r="H38" s="115">
        <f>PRODUCT($D$12:D38)</f>
        <v>0.9102993702325356</v>
      </c>
      <c r="I38" s="115">
        <f t="shared" si="14"/>
        <v>0.7956106260322009</v>
      </c>
      <c r="J38" s="139">
        <f>$C$6*SUM(I37:$I$50)/(G37*H37)</f>
        <v>923.81762884889099</v>
      </c>
      <c r="K38" s="140">
        <f t="shared" si="13"/>
        <v>9.0531028597332641E-3</v>
      </c>
      <c r="L38" s="115">
        <f t="shared" si="15"/>
        <v>7.9125011719236409E-3</v>
      </c>
      <c r="M38" s="141">
        <f>$C$3*SUM(L37:$L$51)/(G37*H37)</f>
        <v>2314.6423555522001</v>
      </c>
      <c r="N38" s="141">
        <f t="shared" si="6"/>
        <v>1390.8247267033091</v>
      </c>
      <c r="O38" s="144">
        <v>0</v>
      </c>
      <c r="P38" s="143">
        <f t="shared" si="1"/>
        <v>90.531028597332636</v>
      </c>
      <c r="Q38" s="144">
        <f t="shared" si="2"/>
        <v>3.3468362287080486</v>
      </c>
      <c r="R38" s="144">
        <f t="shared" si="3"/>
        <v>2.7816494534066183</v>
      </c>
      <c r="S38" s="144">
        <f t="shared" si="7"/>
        <v>74.745383396226245</v>
      </c>
      <c r="T38" s="144">
        <f t="shared" si="8"/>
        <v>6.8445529791004418</v>
      </c>
      <c r="U38" s="145">
        <f t="shared" si="12"/>
        <v>-15.069577904120607</v>
      </c>
      <c r="V38" s="143">
        <f t="shared" si="4"/>
        <v>-13.717827275791121</v>
      </c>
      <c r="W38" s="143">
        <f t="shared" si="5"/>
        <v>-11.989516310338416</v>
      </c>
      <c r="X38" s="3">
        <f t="shared" si="9"/>
        <v>-14.676987101777559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73">
        <v>0.5</v>
      </c>
      <c r="F39" s="173">
        <f t="shared" si="10"/>
        <v>0.5</v>
      </c>
      <c r="G39" s="138">
        <f t="shared" si="11"/>
        <v>0.86966155321948435</v>
      </c>
      <c r="H39" s="115">
        <f>PRODUCT($D$12:D39)</f>
        <v>0.90062735185070897</v>
      </c>
      <c r="I39" s="115">
        <f t="shared" si="14"/>
        <v>0.78324098168243861</v>
      </c>
      <c r="J39" s="139">
        <f>$C$6*SUM(I38:$I$50)/(G38*H38)</f>
        <v>861.80401490771919</v>
      </c>
      <c r="K39" s="140">
        <f t="shared" si="13"/>
        <v>9.6720183818266303E-3</v>
      </c>
      <c r="L39" s="115">
        <f t="shared" si="15"/>
        <v>8.4113825287067505E-3</v>
      </c>
      <c r="M39" s="141">
        <f>$C$3*SUM(L38:$L$51)/(G38*H38)</f>
        <v>2257.3532496157295</v>
      </c>
      <c r="N39" s="141">
        <f t="shared" si="6"/>
        <v>1395.5492347080103</v>
      </c>
      <c r="O39" s="144">
        <v>0</v>
      </c>
      <c r="P39" s="143">
        <f t="shared" si="1"/>
        <v>96.720183818266307</v>
      </c>
      <c r="Q39" s="144">
        <f t="shared" si="2"/>
        <v>3.413772953282209</v>
      </c>
      <c r="R39" s="144">
        <f t="shared" si="3"/>
        <v>2.7910984694160206</v>
      </c>
      <c r="S39" s="144">
        <f t="shared" si="7"/>
        <v>74.745383396226245</v>
      </c>
      <c r="T39" s="144">
        <f t="shared" si="8"/>
        <v>6.8368478143163598</v>
      </c>
      <c r="U39" s="145">
        <f t="shared" si="12"/>
        <v>-21.342824030421937</v>
      </c>
      <c r="V39" s="143">
        <f t="shared" si="4"/>
        <v>-19.221931087534585</v>
      </c>
      <c r="W39" s="143">
        <f t="shared" si="5"/>
        <v>-16.71657444546322</v>
      </c>
      <c r="X39" s="3">
        <f t="shared" si="9"/>
        <v>-20.617485314028251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73">
        <v>0.5</v>
      </c>
      <c r="F40" s="173">
        <f t="shared" si="10"/>
        <v>0.5</v>
      </c>
      <c r="G40" s="138">
        <f t="shared" si="11"/>
        <v>0.86533487882535765</v>
      </c>
      <c r="H40" s="115">
        <f>PRODUCT($D$12:D40)</f>
        <v>0.8902412966293034</v>
      </c>
      <c r="I40" s="115">
        <f t="shared" si="14"/>
        <v>0.77035684454404751</v>
      </c>
      <c r="J40" s="139">
        <f>$C$6*SUM(I39:$I$50)/(G39*H39)</f>
        <v>799.48856761276181</v>
      </c>
      <c r="K40" s="140">
        <f t="shared" si="13"/>
        <v>1.0386055221405566E-2</v>
      </c>
      <c r="L40" s="115">
        <f t="shared" si="15"/>
        <v>8.9874158364884587E-3</v>
      </c>
      <c r="M40" s="141">
        <f>$C$3*SUM(L39:$L$51)/(G39*H39)</f>
        <v>2191.9808341686667</v>
      </c>
      <c r="N40" s="141">
        <f t="shared" si="6"/>
        <v>1392.4922665559047</v>
      </c>
      <c r="O40" s="144">
        <v>0</v>
      </c>
      <c r="P40" s="143">
        <f t="shared" si="1"/>
        <v>103.86055221405566</v>
      </c>
      <c r="Q40" s="144">
        <f t="shared" si="2"/>
        <v>3.4820484123478539</v>
      </c>
      <c r="R40" s="144">
        <f t="shared" si="3"/>
        <v>2.7849845331118095</v>
      </c>
      <c r="S40" s="144">
        <f t="shared" si="7"/>
        <v>74.745383396226245</v>
      </c>
      <c r="T40" s="144">
        <f t="shared" si="8"/>
        <v>6.7855503239630792</v>
      </c>
      <c r="U40" s="145">
        <f t="shared" si="12"/>
        <v>-28.596651439325996</v>
      </c>
      <c r="V40" s="143">
        <f t="shared" si="4"/>
        <v>-25.457920056601811</v>
      </c>
      <c r="W40" s="143">
        <f t="shared" si="5"/>
        <v>-22.029626167325169</v>
      </c>
      <c r="X40" s="3">
        <f t="shared" si="9"/>
        <v>-27.374657360896986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73">
        <v>0.5</v>
      </c>
      <c r="F41" s="173">
        <f t="shared" si="10"/>
        <v>0.5</v>
      </c>
      <c r="G41" s="138">
        <f t="shared" si="11"/>
        <v>0.86102973017448536</v>
      </c>
      <c r="H41" s="115">
        <f>PRODUCT($D$12:D41)</f>
        <v>0.8788272245150891</v>
      </c>
      <c r="I41" s="115">
        <f t="shared" si="14"/>
        <v>0.75669636799421902</v>
      </c>
      <c r="J41" s="139">
        <f>$C$6*SUM(I40:$I$50)/(G40*H40)</f>
        <v>736.86443768717459</v>
      </c>
      <c r="K41" s="140">
        <f t="shared" si="13"/>
        <v>1.1414072114214302E-2</v>
      </c>
      <c r="L41" s="115">
        <f t="shared" si="15"/>
        <v>9.8278554326940576E-3</v>
      </c>
      <c r="M41" s="141">
        <f>$C$3*SUM(L40:$L$51)/(G40*H40)</f>
        <v>2119.4533503011316</v>
      </c>
      <c r="N41" s="141">
        <f t="shared" si="6"/>
        <v>1382.5889126139571</v>
      </c>
      <c r="O41" s="144">
        <v>0</v>
      </c>
      <c r="P41" s="143">
        <f t="shared" si="1"/>
        <v>114.14072114214302</v>
      </c>
      <c r="Q41" s="144">
        <f t="shared" si="2"/>
        <v>3.5516893805948104</v>
      </c>
      <c r="R41" s="144">
        <f t="shared" si="3"/>
        <v>2.765177825227914</v>
      </c>
      <c r="S41" s="144">
        <f t="shared" si="7"/>
        <v>74.745383396226245</v>
      </c>
      <c r="T41" s="144">
        <f t="shared" si="8"/>
        <v>6.6843835383110877</v>
      </c>
      <c r="U41" s="145">
        <f t="shared" si="12"/>
        <v>-39.027821413428413</v>
      </c>
      <c r="V41" s="143">
        <f t="shared" si="4"/>
        <v>-34.298711971633857</v>
      </c>
      <c r="W41" s="143">
        <f t="shared" si="5"/>
        <v>-29.532210714268292</v>
      </c>
      <c r="X41" s="3">
        <f t="shared" si="9"/>
        <v>-36.973509921481693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73">
        <v>0.5</v>
      </c>
      <c r="F42" s="173">
        <f t="shared" si="10"/>
        <v>0.5</v>
      </c>
      <c r="G42" s="138">
        <f t="shared" si="11"/>
        <v>0.85674600017361746</v>
      </c>
      <c r="H42" s="115">
        <f>PRODUCT($D$12:D42)</f>
        <v>0.86652907391420675</v>
      </c>
      <c r="I42" s="115">
        <f t="shared" si="14"/>
        <v>0.74239531811014559</v>
      </c>
      <c r="J42" s="139">
        <f>$C$6*SUM(I41:$I$50)/(G41*H41)</f>
        <v>674.07214696709184</v>
      </c>
      <c r="K42" s="140">
        <f t="shared" si="13"/>
        <v>1.2298150600882352E-2</v>
      </c>
      <c r="L42" s="115">
        <f t="shared" si="15"/>
        <v>1.0536391336838724E-2</v>
      </c>
      <c r="M42" s="141">
        <f>$C$3*SUM(L41:$L$51)/(G41*H41)</f>
        <v>2038.943626518361</v>
      </c>
      <c r="N42" s="141">
        <f t="shared" si="6"/>
        <v>1364.8714795512692</v>
      </c>
      <c r="O42" s="144">
        <v>0</v>
      </c>
      <c r="P42" s="143">
        <f t="shared" si="1"/>
        <v>122.98150600882352</v>
      </c>
      <c r="Q42" s="144">
        <f t="shared" si="2"/>
        <v>3.6227231682067069</v>
      </c>
      <c r="R42" s="144">
        <f t="shared" si="3"/>
        <v>2.7297429591025386</v>
      </c>
      <c r="S42" s="144">
        <f t="shared" si="7"/>
        <v>74.745383396226245</v>
      </c>
      <c r="T42" s="144">
        <f t="shared" si="8"/>
        <v>6.5514144540568138</v>
      </c>
      <c r="U42" s="145">
        <f t="shared" si="12"/>
        <v>-48.037174285849702</v>
      </c>
      <c r="V42" s="143">
        <f t="shared" si="4"/>
        <v>-41.625608147372688</v>
      </c>
      <c r="W42" s="143">
        <f t="shared" si="5"/>
        <v>-35.662573285055892</v>
      </c>
      <c r="X42" s="3">
        <f t="shared" si="9"/>
        <v>-44.984257494224671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73">
        <v>0.5</v>
      </c>
      <c r="F43" s="173">
        <f t="shared" si="10"/>
        <v>0.5</v>
      </c>
      <c r="G43" s="138">
        <f t="shared" si="11"/>
        <v>0.85248358226230603</v>
      </c>
      <c r="H43" s="115">
        <f>PRODUCT($D$12:D43)</f>
        <v>0.85284713256814604</v>
      </c>
      <c r="I43" s="115">
        <f t="shared" si="14"/>
        <v>0.72703817869382892</v>
      </c>
      <c r="J43" s="139">
        <f>$C$6*SUM(I42:$I$50)/(G42*H42)</f>
        <v>610.87182821985311</v>
      </c>
      <c r="K43" s="140">
        <f t="shared" si="13"/>
        <v>1.3681941346060711E-2</v>
      </c>
      <c r="L43" s="115">
        <f t="shared" si="15"/>
        <v>1.1663630370992592E-2</v>
      </c>
      <c r="M43" s="141">
        <f>$C$3*SUM(L42:$L$51)/(G42*H42)</f>
        <v>1945.8402378961914</v>
      </c>
      <c r="N43" s="141">
        <f t="shared" si="6"/>
        <v>1334.9684096763383</v>
      </c>
      <c r="O43" s="144">
        <v>0</v>
      </c>
      <c r="P43" s="143">
        <f t="shared" si="1"/>
        <v>136.81941346060711</v>
      </c>
      <c r="Q43" s="144">
        <f t="shared" si="2"/>
        <v>3.6951776315708402</v>
      </c>
      <c r="R43" s="144">
        <f t="shared" si="3"/>
        <v>2.6699368193526767</v>
      </c>
      <c r="S43" s="144">
        <f t="shared" si="7"/>
        <v>74.745383396226245</v>
      </c>
      <c r="T43" s="144">
        <f t="shared" si="8"/>
        <v>6.33264632580517</v>
      </c>
      <c r="U43" s="145">
        <f t="shared" si="12"/>
        <v>-62.106498189499206</v>
      </c>
      <c r="V43" s="143">
        <f t="shared" si="4"/>
        <v>-52.967348894763148</v>
      </c>
      <c r="W43" s="143">
        <f t="shared" si="5"/>
        <v>-45.153795328745083</v>
      </c>
      <c r="X43" s="3">
        <f t="shared" si="9"/>
        <v>-57.384591820101264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73">
        <v>0.5</v>
      </c>
      <c r="F44" s="173">
        <f t="shared" si="10"/>
        <v>0.5</v>
      </c>
      <c r="G44" s="138">
        <f t="shared" si="11"/>
        <v>0.84824237041025496</v>
      </c>
      <c r="H44" s="115">
        <f>PRODUCT($D$12:D44)</f>
        <v>0.83792936449023636</v>
      </c>
      <c r="I44" s="115">
        <f t="shared" si="14"/>
        <v>0.71076719037155667</v>
      </c>
      <c r="J44" s="139">
        <f>$C$6*SUM(I43:$I$50)/(G43*H43)</f>
        <v>547.45097880163928</v>
      </c>
      <c r="K44" s="140">
        <f t="shared" si="13"/>
        <v>1.4917768077909677E-2</v>
      </c>
      <c r="L44" s="115">
        <f t="shared" si="15"/>
        <v>1.2653882955636537E-2</v>
      </c>
      <c r="M44" s="141">
        <f>$C$3*SUM(L43:$L$51)/(G43*H43)</f>
        <v>1842.019866744922</v>
      </c>
      <c r="N44" s="141">
        <f t="shared" si="6"/>
        <v>1294.5688879432828</v>
      </c>
      <c r="O44" s="144">
        <v>0</v>
      </c>
      <c r="P44" s="143">
        <f t="shared" si="1"/>
        <v>149.17768077909676</v>
      </c>
      <c r="Q44" s="144">
        <f t="shared" si="2"/>
        <v>3.7690811842022578</v>
      </c>
      <c r="R44" s="144">
        <f t="shared" si="3"/>
        <v>2.5891377758865657</v>
      </c>
      <c r="S44" s="144">
        <f t="shared" si="7"/>
        <v>74.745383396226245</v>
      </c>
      <c r="T44" s="144">
        <f t="shared" si="8"/>
        <v>6.0688918580016189</v>
      </c>
      <c r="U44" s="145">
        <f t="shared" si="12"/>
        <v>-74.721624484957729</v>
      </c>
      <c r="V44" s="143">
        <f t="shared" si="4"/>
        <v>-62.611443318358717</v>
      </c>
      <c r="W44" s="143">
        <f t="shared" si="5"/>
        <v>-53.10967909517192</v>
      </c>
      <c r="X44" s="3">
        <f t="shared" si="9"/>
        <v>-68.002968539147972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73">
        <v>0.5</v>
      </c>
      <c r="F45" s="173">
        <f t="shared" si="10"/>
        <v>0.5</v>
      </c>
      <c r="G45" s="138">
        <f t="shared" si="11"/>
        <v>0.84402225911468165</v>
      </c>
      <c r="H45" s="115">
        <f>PRODUCT($D$12:D45)</f>
        <v>0.82182462496197961</v>
      </c>
      <c r="I45" s="115">
        <f t="shared" si="14"/>
        <v>0.69363827655648602</v>
      </c>
      <c r="J45" s="139">
        <f>$C$6*SUM(I44:$I$50)/(G44*H44)</f>
        <v>483.52684225938435</v>
      </c>
      <c r="K45" s="140">
        <f t="shared" si="13"/>
        <v>1.6104739528256751E-2</v>
      </c>
      <c r="L45" s="115">
        <f t="shared" si="15"/>
        <v>1.3592758639092775E-2</v>
      </c>
      <c r="M45" s="141">
        <f>$C$3*SUM(L44:$L$51)/(G44*H44)</f>
        <v>1720.0884929522999</v>
      </c>
      <c r="N45" s="141">
        <f t="shared" si="6"/>
        <v>1236.5616506929155</v>
      </c>
      <c r="O45" s="144">
        <v>0</v>
      </c>
      <c r="P45" s="143">
        <f t="shared" si="1"/>
        <v>161.04739528256749</v>
      </c>
      <c r="Q45" s="144">
        <f t="shared" si="2"/>
        <v>3.8444628078863032</v>
      </c>
      <c r="R45" s="144">
        <f t="shared" si="3"/>
        <v>2.4731233013858311</v>
      </c>
      <c r="S45" s="144">
        <f t="shared" si="7"/>
        <v>74.745383396226245</v>
      </c>
      <c r="T45" s="144">
        <f t="shared" si="8"/>
        <v>5.7197102634865109</v>
      </c>
      <c r="U45" s="145">
        <f t="shared" si="12"/>
        <v>-86.899887732126871</v>
      </c>
      <c r="V45" s="143">
        <f t="shared" si="4"/>
        <v>-71.416467644693299</v>
      </c>
      <c r="W45" s="143">
        <f t="shared" si="5"/>
        <v>-60.277088359464607</v>
      </c>
      <c r="X45" s="3">
        <f t="shared" si="9"/>
        <v>-77.760602587720243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73">
        <v>0.5</v>
      </c>
      <c r="F46" s="173">
        <f t="shared" si="10"/>
        <v>0.5</v>
      </c>
      <c r="G46" s="138">
        <f t="shared" si="11"/>
        <v>0.83982314339769315</v>
      </c>
      <c r="H46" s="115">
        <f>PRODUCT($D$12:D46)</f>
        <v>0.8049872230623708</v>
      </c>
      <c r="I46" s="115">
        <f t="shared" si="14"/>
        <v>0.67604690006722024</v>
      </c>
      <c r="J46" s="139">
        <f>$C$6*SUM(I45:$I$50)/(G45*H45)</f>
        <v>418.8760320934976</v>
      </c>
      <c r="K46" s="140">
        <f t="shared" si="13"/>
        <v>1.6837401899608806E-2</v>
      </c>
      <c r="L46" s="115">
        <f t="shared" si="15"/>
        <v>1.4140439789979758E-2</v>
      </c>
      <c r="M46" s="141">
        <f>$C$3*SUM(L45:$L$51)/(G45*H45)</f>
        <v>1580.1371879461592</v>
      </c>
      <c r="N46" s="141">
        <f t="shared" si="6"/>
        <v>1161.2611558526617</v>
      </c>
      <c r="O46" s="144">
        <v>0</v>
      </c>
      <c r="P46" s="143">
        <f t="shared" si="1"/>
        <v>168.37401899608807</v>
      </c>
      <c r="Q46" s="144">
        <f t="shared" si="2"/>
        <v>3.9213520640440289</v>
      </c>
      <c r="R46" s="144">
        <f t="shared" si="3"/>
        <v>2.3225223117053235</v>
      </c>
      <c r="S46" s="144">
        <f t="shared" si="7"/>
        <v>74.745383396226245</v>
      </c>
      <c r="T46" s="144">
        <f t="shared" si="8"/>
        <v>5.3069432293852525</v>
      </c>
      <c r="U46" s="145">
        <f t="shared" si="12"/>
        <v>-94.565566746225926</v>
      </c>
      <c r="V46" s="143">
        <f t="shared" si="4"/>
        <v>-76.124072972363678</v>
      </c>
      <c r="W46" s="143">
        <f t="shared" si="5"/>
        <v>-63.930758251885841</v>
      </c>
      <c r="X46" s="3">
        <f t="shared" si="9"/>
        <v>-83.09413368160871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73">
        <v>0.5</v>
      </c>
      <c r="F47" s="173">
        <f t="shared" si="10"/>
        <v>0.5</v>
      </c>
      <c r="G47" s="138">
        <f t="shared" si="11"/>
        <v>0.83564491880367509</v>
      </c>
      <c r="H47" s="115">
        <f>PRODUCT($D$12:D47)</f>
        <v>0.78745298475606429</v>
      </c>
      <c r="I47" s="115">
        <f t="shared" si="14"/>
        <v>0.65803108550819289</v>
      </c>
      <c r="J47" s="139">
        <f>$C$6*SUM(I46:$I$50)/(G46*H46)</f>
        <v>353.08525199791075</v>
      </c>
      <c r="K47" s="140">
        <f t="shared" si="13"/>
        <v>1.7534238306306515E-2</v>
      </c>
      <c r="L47" s="115">
        <f t="shared" si="15"/>
        <v>1.4652397145757797E-2</v>
      </c>
      <c r="M47" s="141">
        <f>$C$3*SUM(L46:$L$51)/(G46*H46)</f>
        <v>1420.1914826965299</v>
      </c>
      <c r="N47" s="210">
        <f t="shared" si="6"/>
        <v>1067.1062306986191</v>
      </c>
      <c r="O47" s="144">
        <v>0</v>
      </c>
      <c r="P47" s="143">
        <f t="shared" si="1"/>
        <v>175.34238306306514</v>
      </c>
      <c r="Q47" s="144">
        <f t="shared" si="2"/>
        <v>3.9997791053249094</v>
      </c>
      <c r="R47" s="212">
        <f t="shared" si="3"/>
        <v>2.1342124613972384</v>
      </c>
      <c r="S47" s="144">
        <f t="shared" si="7"/>
        <v>74.745383396226245</v>
      </c>
      <c r="T47" s="144">
        <f t="shared" si="8"/>
        <v>4.8018761973252904</v>
      </c>
      <c r="U47" s="213">
        <f t="shared" si="12"/>
        <v>-101.92911503623576</v>
      </c>
      <c r="V47" s="154">
        <f t="shared" si="4"/>
        <v>-80.264385868828086</v>
      </c>
      <c r="W47" s="154">
        <f t="shared" si="5"/>
        <v>-67.072526212183689</v>
      </c>
      <c r="X47" s="3">
        <f t="shared" si="9"/>
        <v>-87.833124083518513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73">
        <v>0.5</v>
      </c>
      <c r="F48" s="173">
        <f t="shared" si="10"/>
        <v>0.5</v>
      </c>
      <c r="G48" s="138">
        <f>(1+E48/100)^(-B48)</f>
        <v>0.83148748139669182</v>
      </c>
      <c r="H48" s="115">
        <f>PRODUCT($D$12:D48)</f>
        <v>0.76906958583212903</v>
      </c>
      <c r="I48" s="115">
        <f>H48*G48</f>
        <v>0.63947173294235382</v>
      </c>
      <c r="J48" s="139">
        <f>$C$6*SUM(I47:$I$50)/(G47*H47)</f>
        <v>285.96035883010478</v>
      </c>
      <c r="K48" s="140">
        <f>H47-H48</f>
        <v>1.8383398923935257E-2</v>
      </c>
      <c r="L48" s="115">
        <f>K48*G48</f>
        <v>1.5285566070773582E-2</v>
      </c>
      <c r="M48" s="141">
        <f>$C$3*SUM(L47:$L$51)/(G47*H47)</f>
        <v>1244.1838531788742</v>
      </c>
      <c r="N48" s="210">
        <f>M48-J48</f>
        <v>958.22349434876946</v>
      </c>
      <c r="O48" s="144">
        <v>0</v>
      </c>
      <c r="P48" s="154">
        <f t="shared" si="1"/>
        <v>183.83398923935258</v>
      </c>
      <c r="Q48" s="144">
        <f t="shared" si="2"/>
        <v>4.0797746874314074</v>
      </c>
      <c r="R48" s="212">
        <f t="shared" si="3"/>
        <v>1.916446988697539</v>
      </c>
      <c r="S48" s="144">
        <f t="shared" si="7"/>
        <v>74.745383396226245</v>
      </c>
      <c r="T48" s="144">
        <f t="shared" si="8"/>
        <v>4.2156933341475717</v>
      </c>
      <c r="U48" s="213">
        <f t="shared" si="12"/>
        <v>-110.86913418510771</v>
      </c>
      <c r="V48" s="154">
        <f t="shared" si="4"/>
        <v>-85.266079109307526</v>
      </c>
      <c r="W48" s="154">
        <f t="shared" si="5"/>
        <v>-70.897677367169194</v>
      </c>
      <c r="X48" s="3">
        <f t="shared" si="9"/>
        <v>-93.540315735849035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73">
        <v>0.5</v>
      </c>
      <c r="F49" s="173">
        <f>B49*E49-B48*E48</f>
        <v>0.5</v>
      </c>
      <c r="G49" s="138">
        <f>(1+E49/100)^(-B49)</f>
        <v>0.8273507277579023</v>
      </c>
      <c r="H49" s="115">
        <f>PRODUCT($D$12:D49)</f>
        <v>0.74962933870011328</v>
      </c>
      <c r="I49" s="115">
        <f t="shared" ref="I49:I51" si="16">H49*G49</f>
        <v>0.62020637892221375</v>
      </c>
      <c r="J49" s="139">
        <f>$C$6*SUM(I48:$I$50)/(G48*H48)</f>
        <v>217.34505592739077</v>
      </c>
      <c r="K49" s="140">
        <f t="shared" ref="K49:K51" si="17">H48-H49</f>
        <v>1.9440247132015753E-2</v>
      </c>
      <c r="L49" s="115">
        <f>K49*G49</f>
        <v>1.6083902612466706E-2</v>
      </c>
      <c r="M49" s="141">
        <f>$C$3*SUM(L48:$L$51)/(G48*H48)</f>
        <v>1051.1608963989624</v>
      </c>
      <c r="N49" s="210">
        <f t="shared" ref="N49:N52" si="18">M49-J49</f>
        <v>833.81584047157162</v>
      </c>
      <c r="O49" s="144">
        <v>0</v>
      </c>
      <c r="P49" s="154">
        <f t="shared" si="1"/>
        <v>194.40247132015753</v>
      </c>
      <c r="Q49" s="144">
        <f t="shared" si="2"/>
        <v>4.1613701811800361</v>
      </c>
      <c r="R49" s="212">
        <f t="shared" si="3"/>
        <v>1.6676316809431433</v>
      </c>
      <c r="S49" s="144">
        <f t="shared" si="7"/>
        <v>74.745383396226245</v>
      </c>
      <c r="T49" s="144">
        <f t="shared" si="8"/>
        <v>3.5416487534275856</v>
      </c>
      <c r="U49" s="213">
        <f t="shared" si="12"/>
        <v>-121.94444103262688</v>
      </c>
      <c r="V49" s="154">
        <f t="shared" si="4"/>
        <v>-91.413130689443051</v>
      </c>
      <c r="W49" s="154">
        <f t="shared" si="5"/>
        <v>-75.630720202538939</v>
      </c>
      <c r="X49" s="3">
        <f t="shared" si="9"/>
        <v>-100.53521641818004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73">
        <v>0.5</v>
      </c>
      <c r="F50" s="173">
        <f t="shared" si="10"/>
        <v>0.5</v>
      </c>
      <c r="G50" s="138">
        <f>(1+E50/100)^(-B50)</f>
        <v>0.82323455498298748</v>
      </c>
      <c r="H50" s="171">
        <f>PRODUCT($D$12:D50)</f>
        <v>0.72856693040883636</v>
      </c>
      <c r="I50" s="115">
        <f t="shared" si="16"/>
        <v>0.59978147273043958</v>
      </c>
      <c r="J50" s="139">
        <f>$C$6*SUM(I49:$I$50)/(G49*H49)</f>
        <v>147.02921932048173</v>
      </c>
      <c r="K50" s="140">
        <f t="shared" si="17"/>
        <v>2.1062408291276924E-2</v>
      </c>
      <c r="L50" s="115">
        <f>K50*G50</f>
        <v>1.7339302316539344E-2</v>
      </c>
      <c r="M50" s="141">
        <f>$C$3*SUM(L49:$L$51)/(G49*H49)</f>
        <v>837.35355998149362</v>
      </c>
      <c r="N50" s="210">
        <f t="shared" si="18"/>
        <v>690.32434066101189</v>
      </c>
      <c r="O50" s="144">
        <v>0</v>
      </c>
      <c r="P50" s="154">
        <f t="shared" si="1"/>
        <v>210.62408291276924</v>
      </c>
      <c r="Q50" s="144">
        <f t="shared" si="2"/>
        <v>4.2445975848036372</v>
      </c>
      <c r="R50" s="212">
        <f t="shared" si="3"/>
        <v>1.3806486813220238</v>
      </c>
      <c r="S50" s="144">
        <f t="shared" si="7"/>
        <v>74.745383396226245</v>
      </c>
      <c r="T50" s="144">
        <f t="shared" si="8"/>
        <v>2.7441019743917163</v>
      </c>
      <c r="U50" s="213">
        <f t="shared" si="12"/>
        <v>-138.75984380827697</v>
      </c>
      <c r="V50" s="154">
        <f t="shared" si="4"/>
        <v>-101.09583346740592</v>
      </c>
      <c r="W50" s="154">
        <f t="shared" si="5"/>
        <v>-83.225583475174133</v>
      </c>
      <c r="X50" s="3">
        <f t="shared" si="9"/>
        <v>-111.4628098916839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73">
        <v>0.5</v>
      </c>
      <c r="F51" s="173">
        <f t="shared" si="10"/>
        <v>0.5</v>
      </c>
      <c r="G51" s="138">
        <f>(1+E51/100)^(-B51)</f>
        <v>0.81913886067958963</v>
      </c>
      <c r="H51" s="171">
        <f>PRODUCT($D$12:D51)</f>
        <v>0.70597003275095693</v>
      </c>
      <c r="I51" s="115">
        <f t="shared" si="16"/>
        <v>0.57828748830155141</v>
      </c>
      <c r="J51" s="139">
        <f>$C$6*SUM(I50:$I$50)/(G50*H50)</f>
        <v>74.745383396226245</v>
      </c>
      <c r="K51" s="140">
        <f t="shared" si="17"/>
        <v>2.2596897657879422E-2</v>
      </c>
      <c r="L51" s="115">
        <f t="shared" ref="L51" si="19">K51*G51</f>
        <v>1.8509997002368637E-2</v>
      </c>
      <c r="M51" s="141">
        <f>$C$3*SUM(L50:$L$51)/(G50*H50)</f>
        <v>597.70601375377555</v>
      </c>
      <c r="N51" s="210">
        <f t="shared" si="18"/>
        <v>522.96063035754935</v>
      </c>
      <c r="O51" s="144">
        <v>0</v>
      </c>
      <c r="P51" s="154">
        <f t="shared" si="1"/>
        <v>225.96897657879421</v>
      </c>
      <c r="Q51" s="144">
        <f t="shared" si="2"/>
        <v>4.3294895364997084</v>
      </c>
      <c r="R51" s="212">
        <f>$C$7*N51</f>
        <v>1.0459212607150987</v>
      </c>
      <c r="S51" s="144">
        <f t="shared" si="7"/>
        <v>74.745383396226245</v>
      </c>
      <c r="T51" s="144">
        <f t="shared" si="8"/>
        <v>1.8318081318888324</v>
      </c>
      <c r="U51" s="213">
        <f t="shared" si="12"/>
        <v>-154.76719584789396</v>
      </c>
      <c r="V51" s="154">
        <f t="shared" si="4"/>
        <v>-109.26100232151147</v>
      </c>
      <c r="W51" s="154">
        <f t="shared" si="5"/>
        <v>-89.4999329583529</v>
      </c>
      <c r="X51" s="3">
        <f t="shared" si="9"/>
        <v>-120.76720240632616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v>0</v>
      </c>
      <c r="N52" s="210">
        <f t="shared" si="18"/>
        <v>0</v>
      </c>
      <c r="O52" s="144"/>
      <c r="P52" s="143"/>
      <c r="Q52" s="144"/>
      <c r="R52" s="212"/>
      <c r="S52" s="144"/>
      <c r="T52" s="150"/>
      <c r="U52" s="145"/>
      <c r="V52" s="143"/>
      <c r="W52" s="143"/>
      <c r="X52" s="3">
        <f t="shared" si="9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1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75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75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D12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59</v>
      </c>
      <c r="D1" s="162"/>
    </row>
    <row r="2" spans="1:37" ht="36.75" customHeight="1" thickBot="1" x14ac:dyDescent="0.3">
      <c r="A2" s="163" t="s">
        <v>62</v>
      </c>
      <c r="B2" s="86"/>
      <c r="C2" s="88">
        <f>'All bonds'!H5</f>
        <v>1349.6880615924813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92" t="s">
        <v>37</v>
      </c>
      <c r="X3" s="98">
        <f>W11/C2</f>
        <v>0.22087892810677376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60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0.3121381620816075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'All bonds'!J5</f>
        <v>56.557176575755122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192"/>
      <c r="S6" s="247" t="s">
        <v>41</v>
      </c>
      <c r="T6" s="247"/>
      <c r="U6" s="91"/>
      <c r="V6" s="91"/>
      <c r="W6" s="109" t="s">
        <v>83</v>
      </c>
      <c r="X6" s="98">
        <f>-0.0025</f>
        <v>-2.5000000000000001E-3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122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131">
        <f>SUM(W12:W51)</f>
        <v>298.11765232305652</v>
      </c>
      <c r="X11" s="132">
        <f>SUM(X12:X51)</f>
        <v>-2.7873242546767756</v>
      </c>
      <c r="Y11" s="193">
        <f>NPV(X5,V12:V51)</f>
        <v>8.9783862684754928E-11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5">
        <f>'All bonds'!E5</f>
        <v>0.9860305346828504</v>
      </c>
      <c r="F12" s="195">
        <f>E12</f>
        <v>0.9860305346828504</v>
      </c>
      <c r="G12" s="138">
        <f>EXP(-(E12/100)*B12)</f>
        <v>0.99018814807797728</v>
      </c>
      <c r="H12" s="115">
        <f>PRODUCT($D$12:D12)</f>
        <v>0.99917201979718562</v>
      </c>
      <c r="I12" s="115">
        <f>H12*G12</f>
        <v>0.98936829189430731</v>
      </c>
      <c r="J12" s="139">
        <v>0</v>
      </c>
      <c r="K12" s="115">
        <f>C12</f>
        <v>8.279802028143497E-4</v>
      </c>
      <c r="L12" s="115">
        <f>K12*G12</f>
        <v>8.1985618366996898E-4</v>
      </c>
      <c r="M12" s="141">
        <v>0</v>
      </c>
      <c r="N12" s="141">
        <f>M12-J12</f>
        <v>0</v>
      </c>
      <c r="O12" s="142">
        <f>C4</f>
        <v>200</v>
      </c>
      <c r="P12" s="143">
        <f t="shared" ref="P12:P51" si="1">K12*$C$3</f>
        <v>8.2798020281434965</v>
      </c>
      <c r="Q12" s="144">
        <f t="shared" ref="Q12:Q51" si="2">$C$8*(1+$C$5)^(B12-1)</f>
        <v>2</v>
      </c>
      <c r="R12" s="144">
        <f t="shared" ref="R12:R50" si="3">$C$7*N12</f>
        <v>0</v>
      </c>
      <c r="S12" s="144">
        <f>$C$6</f>
        <v>56.557176575755122</v>
      </c>
      <c r="T12" s="144">
        <f>F12/100*(N12+S12-O12-Q12-P12-R12)</f>
        <v>-1.5157520256767003</v>
      </c>
      <c r="U12" s="145">
        <f>S12+T12-O12-Q12-R12-P12</f>
        <v>-155.23837747806508</v>
      </c>
      <c r="V12" s="143">
        <f t="shared" ref="V12:V51" si="4">U12*H12</f>
        <v>-155.10984317479623</v>
      </c>
      <c r="W12" s="143">
        <f t="shared" ref="W12:W51" si="5">V12*G12</f>
        <v>-153.58792836191697</v>
      </c>
      <c r="X12" s="3">
        <f>V12*(1+$X$6)^(-B12)</f>
        <v>-155.49858964891851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5">
        <f>'All bonds'!E6</f>
        <v>1.4446111684116043</v>
      </c>
      <c r="F13" s="195">
        <f>B13*E13-B12*E12</f>
        <v>1.9031918021403582</v>
      </c>
      <c r="G13" s="138">
        <f t="shared" ref="G13:G51" si="6">EXP(-(E13/100)*B13)</f>
        <v>0.97152116610328243</v>
      </c>
      <c r="H13" s="115">
        <f>PRODUCT($D$12:D13)</f>
        <v>0.99823320922948466</v>
      </c>
      <c r="I13" s="115">
        <f>H13*G13</f>
        <v>0.96980469147365089</v>
      </c>
      <c r="J13" s="139">
        <f>$C$6*SUM(I12:$I$50)/(G12*H12)</f>
        <v>1307.0268125743303</v>
      </c>
      <c r="K13" s="140">
        <f>H12-H13</f>
        <v>9.3881056770095395E-4</v>
      </c>
      <c r="L13" s="115">
        <f>K13*G13</f>
        <v>9.1207433748291533E-4</v>
      </c>
      <c r="M13" s="141">
        <f>$C$3*SUM(L12:$L$51)/(G12*H12)</f>
        <v>1364.1917500795209</v>
      </c>
      <c r="N13" s="141">
        <f t="shared" ref="N13:N47" si="7">M13-J13</f>
        <v>57.164937505190665</v>
      </c>
      <c r="O13" s="144">
        <v>0</v>
      </c>
      <c r="P13" s="143">
        <f t="shared" si="1"/>
        <v>9.3881056770095395</v>
      </c>
      <c r="Q13" s="144">
        <f t="shared" si="2"/>
        <v>2.04</v>
      </c>
      <c r="R13" s="144">
        <f t="shared" si="3"/>
        <v>0.11432987501038133</v>
      </c>
      <c r="S13" s="144">
        <f t="shared" ref="S13:S51" si="8">$C$6</f>
        <v>56.557176575755122</v>
      </c>
      <c r="T13" s="144">
        <f t="shared" ref="T13:T51" si="9">F13/100*(N13+S13-O13-Q13-P13-R13)</f>
        <v>1.9446752652158887</v>
      </c>
      <c r="U13" s="145">
        <f>S13+T13-O13-Q13-R13-P13</f>
        <v>46.95941628895109</v>
      </c>
      <c r="V13" s="143">
        <f t="shared" si="4"/>
        <v>46.876448825662983</v>
      </c>
      <c r="W13" s="143">
        <f t="shared" si="5"/>
        <v>45.541462225888942</v>
      </c>
      <c r="X13" s="3">
        <f t="shared" ref="X13:X52" si="10">V13*(1+$X$6)^(-B13)</f>
        <v>47.111712942167934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5">
        <f>'All bonds'!E7</f>
        <v>1.6273040610071074</v>
      </c>
      <c r="F14" s="195">
        <f t="shared" ref="F14:F51" si="11">B14*E14-B13*E13</f>
        <v>1.9926898461981137</v>
      </c>
      <c r="G14" s="138">
        <f t="shared" si="6"/>
        <v>0.95235337405570264</v>
      </c>
      <c r="H14" s="115">
        <f>PRODUCT($D$12:D14)</f>
        <v>0.99720309581120525</v>
      </c>
      <c r="I14" s="115">
        <f>H14*G14</f>
        <v>0.94968973291459347</v>
      </c>
      <c r="J14" s="139">
        <f>$C$6*SUM(I13:$I$50)/(G13*H13)</f>
        <v>1275.6950123160129</v>
      </c>
      <c r="K14" s="140">
        <f>H13-H14</f>
        <v>1.0301134182794103E-3</v>
      </c>
      <c r="L14" s="115">
        <f>K14*G14</f>
        <v>9.8103198955844977E-4</v>
      </c>
      <c r="M14" s="141">
        <f>$C$3*SUM(L13:$L$51)/(G13*H13)</f>
        <v>1383.2573832132564</v>
      </c>
      <c r="N14" s="141">
        <f t="shared" si="7"/>
        <v>107.56237089724345</v>
      </c>
      <c r="O14" s="144">
        <v>0</v>
      </c>
      <c r="P14" s="143">
        <f t="shared" si="1"/>
        <v>10.301134182794103</v>
      </c>
      <c r="Q14" s="144">
        <f t="shared" si="2"/>
        <v>2.0808</v>
      </c>
      <c r="R14" s="144">
        <f t="shared" si="3"/>
        <v>0.2151247417944869</v>
      </c>
      <c r="S14" s="144">
        <f t="shared" si="8"/>
        <v>56.557176575755122</v>
      </c>
      <c r="T14" s="144">
        <f t="shared" si="9"/>
        <v>3.0193732440108656</v>
      </c>
      <c r="U14" s="145">
        <f t="shared" ref="U14:U51" si="12">S14+T14-O14-Q14-R14-P14</f>
        <v>46.979490895177399</v>
      </c>
      <c r="V14" s="143">
        <f t="shared" si="4"/>
        <v>46.848093760305233</v>
      </c>
      <c r="W14" s="143">
        <f t="shared" si="5"/>
        <v>44.615940160704596</v>
      </c>
      <c r="X14" s="3">
        <f t="shared" si="10"/>
        <v>47.201218614584626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5">
        <f>'All bonds'!E8</f>
        <v>1.7564373466652632</v>
      </c>
      <c r="F15" s="195">
        <f t="shared" si="11"/>
        <v>2.1438372036397304</v>
      </c>
      <c r="G15" s="138">
        <f t="shared" si="6"/>
        <v>0.9321537651237003</v>
      </c>
      <c r="H15" s="115">
        <f>PRODUCT($D$12:D15)</f>
        <v>0.99615955299866155</v>
      </c>
      <c r="I15" s="115">
        <f>H15*G15</f>
        <v>0.92857387799164459</v>
      </c>
      <c r="J15" s="139">
        <f>$C$6*SUM(I14:$I$50)/(G14*H14)</f>
        <v>1244.9598554944714</v>
      </c>
      <c r="K15" s="140">
        <f t="shared" ref="K15:K47" si="13">H14-H15</f>
        <v>1.0435428125437074E-3</v>
      </c>
      <c r="L15" s="115">
        <f>K15*G15</f>
        <v>9.7274236178039261E-4</v>
      </c>
      <c r="M15" s="141">
        <f>$C$3*SUM(L14:$L$51)/(G14*H14)</f>
        <v>1402.9516274667083</v>
      </c>
      <c r="N15" s="141">
        <f t="shared" si="7"/>
        <v>157.99177197223685</v>
      </c>
      <c r="O15" s="144">
        <v>0</v>
      </c>
      <c r="P15" s="143">
        <f t="shared" si="1"/>
        <v>10.435428125437074</v>
      </c>
      <c r="Q15" s="144">
        <f t="shared" si="2"/>
        <v>2.1224159999999999</v>
      </c>
      <c r="R15" s="144">
        <f t="shared" si="3"/>
        <v>0.3159835439444737</v>
      </c>
      <c r="S15" s="144">
        <f t="shared" si="8"/>
        <v>56.557176575755122</v>
      </c>
      <c r="T15" s="144">
        <f t="shared" si="9"/>
        <v>4.323586271881048</v>
      </c>
      <c r="U15" s="145">
        <f t="shared" si="12"/>
        <v>48.006935178254622</v>
      </c>
      <c r="V15" s="143">
        <f t="shared" si="4"/>
        <v>47.822567088005847</v>
      </c>
      <c r="W15" s="143">
        <f t="shared" si="5"/>
        <v>44.5779859689654</v>
      </c>
      <c r="X15" s="3">
        <f t="shared" si="10"/>
        <v>48.303796679526037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5">
        <f>'All bonds'!E9</f>
        <v>1.8784810043238007</v>
      </c>
      <c r="F16" s="195">
        <f t="shared" si="11"/>
        <v>2.3666556349579508</v>
      </c>
      <c r="G16" s="138">
        <f t="shared" si="6"/>
        <v>0.91035190064525529</v>
      </c>
      <c r="H16" s="115">
        <f>PRODUCT($D$12:D16)</f>
        <v>0.99513503894949118</v>
      </c>
      <c r="I16" s="115">
        <f t="shared" ref="I16:I47" si="14">H16*G16</f>
        <v>0.90592307410635942</v>
      </c>
      <c r="J16" s="139">
        <f>$C$6*SUM(I15:$I$50)/(G15*H15)</f>
        <v>1215.4270645415017</v>
      </c>
      <c r="K16" s="140">
        <f t="shared" si="13"/>
        <v>1.0245140491703664E-3</v>
      </c>
      <c r="L16" s="115">
        <f t="shared" ref="L16:L47" si="15">K16*G16</f>
        <v>9.326683119000095E-4</v>
      </c>
      <c r="M16" s="141">
        <f>$C$3*SUM(L15:$L$51)/(G15*H15)</f>
        <v>1424.2899437854621</v>
      </c>
      <c r="N16" s="141">
        <f t="shared" si="7"/>
        <v>208.86287924396038</v>
      </c>
      <c r="O16" s="144">
        <v>0</v>
      </c>
      <c r="P16" s="143">
        <f t="shared" si="1"/>
        <v>10.245140491703664</v>
      </c>
      <c r="Q16" s="144">
        <f t="shared" si="2"/>
        <v>2.16486432</v>
      </c>
      <c r="R16" s="144">
        <f t="shared" si="3"/>
        <v>0.41772575848792076</v>
      </c>
      <c r="S16" s="144">
        <f t="shared" si="8"/>
        <v>56.557176575755122</v>
      </c>
      <c r="T16" s="144">
        <f t="shared" si="9"/>
        <v>5.9779904989891728</v>
      </c>
      <c r="U16" s="145">
        <f t="shared" si="12"/>
        <v>49.70743650455271</v>
      </c>
      <c r="V16" s="143">
        <f t="shared" si="4"/>
        <v>49.465611762037419</v>
      </c>
      <c r="W16" s="143">
        <f t="shared" si="5"/>
        <v>45.031113684151059</v>
      </c>
      <c r="X16" s="3">
        <f t="shared" si="10"/>
        <v>50.088596497540728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5">
        <f>'All bonds'!E10</f>
        <v>1.9972831483659572</v>
      </c>
      <c r="F17" s="195">
        <f t="shared" si="11"/>
        <v>2.5912938685767397</v>
      </c>
      <c r="G17" s="138">
        <f t="shared" si="6"/>
        <v>0.88706502637596252</v>
      </c>
      <c r="H17" s="115">
        <f>PRODUCT($D$12:D17)</f>
        <v>0.99406934438051142</v>
      </c>
      <c r="I17" s="115">
        <f>H17*G17</f>
        <v>0.88180414919243411</v>
      </c>
      <c r="J17" s="139">
        <f>$C$6*SUM(I16:$I$50)/(G16*H16)</f>
        <v>1187.8451236244341</v>
      </c>
      <c r="K17" s="140">
        <f t="shared" si="13"/>
        <v>1.0656945689797581E-3</v>
      </c>
      <c r="L17" s="115">
        <f t="shared" si="15"/>
        <v>9.4534038094074913E-4</v>
      </c>
      <c r="M17" s="141">
        <f>$C$3*SUM(L16:$L$51)/(G16*H16)</f>
        <v>1449.1638974562995</v>
      </c>
      <c r="N17" s="141">
        <f t="shared" si="7"/>
        <v>261.31877383186543</v>
      </c>
      <c r="O17" s="144">
        <v>0</v>
      </c>
      <c r="P17" s="143">
        <f t="shared" si="1"/>
        <v>10.656945689797581</v>
      </c>
      <c r="Q17" s="144">
        <f t="shared" si="2"/>
        <v>2.2081616064</v>
      </c>
      <c r="R17" s="144">
        <f t="shared" si="3"/>
        <v>0.52263754766373083</v>
      </c>
      <c r="S17" s="144">
        <f t="shared" si="8"/>
        <v>56.557176575755122</v>
      </c>
      <c r="T17" s="144">
        <f t="shared" si="9"/>
        <v>7.8901842013130334</v>
      </c>
      <c r="U17" s="145">
        <f t="shared" si="12"/>
        <v>51.059615933206842</v>
      </c>
      <c r="V17" s="143">
        <f t="shared" si="4"/>
        <v>50.756798935043641</v>
      </c>
      <c r="W17" s="143">
        <f t="shared" si="5"/>
        <v>45.024581186073917</v>
      </c>
      <c r="X17" s="3">
        <f t="shared" si="10"/>
        <v>51.524857412202039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5">
        <f>'All bonds'!E11</f>
        <v>2.1092370667478044</v>
      </c>
      <c r="F18" s="195">
        <f t="shared" si="11"/>
        <v>2.7809605770388881</v>
      </c>
      <c r="G18" s="138">
        <f t="shared" si="6"/>
        <v>0.8627359565559527</v>
      </c>
      <c r="H18" s="115">
        <f>PRODUCT($D$12:D18)</f>
        <v>0.99284921734070164</v>
      </c>
      <c r="I18" s="115">
        <f t="shared" si="14"/>
        <v>0.85656671923825922</v>
      </c>
      <c r="J18" s="139">
        <f>$C$6*SUM(I17:$I$50)/(G17*H17)</f>
        <v>1162.2307012598994</v>
      </c>
      <c r="K18" s="140">
        <f t="shared" si="13"/>
        <v>1.2201270398097819E-3</v>
      </c>
      <c r="L18" s="115">
        <f t="shared" si="15"/>
        <v>1.052647468810075E-3</v>
      </c>
      <c r="M18" s="141">
        <f>$C$3*SUM(L17:$L$51)/(G17*H17)</f>
        <v>1478.2243097203923</v>
      </c>
      <c r="N18" s="141">
        <f t="shared" si="7"/>
        <v>315.99360846049285</v>
      </c>
      <c r="O18" s="144">
        <v>0</v>
      </c>
      <c r="P18" s="143">
        <f t="shared" si="1"/>
        <v>12.201270398097819</v>
      </c>
      <c r="Q18" s="144">
        <f t="shared" si="2"/>
        <v>2.2523248385280001</v>
      </c>
      <c r="R18" s="144">
        <f t="shared" si="3"/>
        <v>0.63198721692098569</v>
      </c>
      <c r="S18" s="144">
        <f t="shared" si="8"/>
        <v>56.557176575755122</v>
      </c>
      <c r="T18" s="144">
        <f t="shared" si="9"/>
        <v>9.9409663604571161</v>
      </c>
      <c r="U18" s="145">
        <f t="shared" si="12"/>
        <v>51.412560482665434</v>
      </c>
      <c r="V18" s="143">
        <f t="shared" si="4"/>
        <v>51.044920436695861</v>
      </c>
      <c r="W18" s="143">
        <f t="shared" si="5"/>
        <v>44.038288260275301</v>
      </c>
      <c r="X18" s="3">
        <f t="shared" si="10"/>
        <v>51.94720682291495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5">
        <f>'All bonds'!E12</f>
        <v>2.2112849186643211</v>
      </c>
      <c r="F19" s="195">
        <f t="shared" si="11"/>
        <v>2.9256198820799373</v>
      </c>
      <c r="G19" s="138">
        <f t="shared" si="6"/>
        <v>0.83786122612762337</v>
      </c>
      <c r="H19" s="115">
        <f>PRODUCT($D$12:D19)</f>
        <v>0.99144316150046929</v>
      </c>
      <c r="I19" s="115">
        <f t="shared" si="14"/>
        <v>0.83069178293063051</v>
      </c>
      <c r="J19" s="139">
        <f>$C$6*SUM(I18:$I$50)/(G18*H18)</f>
        <v>1138.2505061435888</v>
      </c>
      <c r="K19" s="140">
        <f t="shared" si="13"/>
        <v>1.4060558402323453E-3</v>
      </c>
      <c r="L19" s="115">
        <f>K19*G19</f>
        <v>1.1780796703009786E-3</v>
      </c>
      <c r="M19" s="141">
        <f>$C$3*SUM(L18:$L$51)/(G18*H18)</f>
        <v>1510.7415416395697</v>
      </c>
      <c r="N19" s="141">
        <f t="shared" si="7"/>
        <v>372.4910354959809</v>
      </c>
      <c r="O19" s="144">
        <v>0</v>
      </c>
      <c r="P19" s="143">
        <f t="shared" si="1"/>
        <v>14.060558402323453</v>
      </c>
      <c r="Q19" s="144">
        <f t="shared" si="2"/>
        <v>2.2973713352985596</v>
      </c>
      <c r="R19" s="144">
        <f t="shared" si="3"/>
        <v>0.74498207099196179</v>
      </c>
      <c r="S19" s="144">
        <f t="shared" si="8"/>
        <v>56.557176575755122</v>
      </c>
      <c r="T19" s="144">
        <f t="shared" si="9"/>
        <v>12.051953607791795</v>
      </c>
      <c r="U19" s="145">
        <f t="shared" si="12"/>
        <v>51.506218374932928</v>
      </c>
      <c r="V19" s="143">
        <f t="shared" si="4"/>
        <v>51.065487982577068</v>
      </c>
      <c r="W19" s="143">
        <f t="shared" si="5"/>
        <v>42.785792373887439</v>
      </c>
      <c r="X19" s="3">
        <f t="shared" si="10"/>
        <v>52.098383887051789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5">
        <f>'All bonds'!E13</f>
        <v>2.3019781018645897</v>
      </c>
      <c r="F20" s="195">
        <f t="shared" si="11"/>
        <v>3.0275235674667407</v>
      </c>
      <c r="G20" s="138">
        <f t="shared" si="6"/>
        <v>0.81287492165918218</v>
      </c>
      <c r="H20" s="115">
        <f>PRODUCT($D$12:D20)</f>
        <v>0.98989429002974061</v>
      </c>
      <c r="I20" s="115">
        <f t="shared" si="14"/>
        <v>0.80466024345879716</v>
      </c>
      <c r="J20" s="139">
        <f>$C$6*SUM(I19:$I$50)/(G19*H19)</f>
        <v>1115.3866278308933</v>
      </c>
      <c r="K20" s="140">
        <f t="shared" si="13"/>
        <v>1.5488714707286855E-3</v>
      </c>
      <c r="L20" s="115">
        <f>K20*G20</f>
        <v>1.2590387754287224E-3</v>
      </c>
      <c r="M20" s="141">
        <f>$C$3*SUM(L19:$L$51)/(G19*H19)</f>
        <v>1545.1271790878425</v>
      </c>
      <c r="N20" s="141">
        <f t="shared" si="7"/>
        <v>429.74055125694917</v>
      </c>
      <c r="O20" s="144">
        <v>0</v>
      </c>
      <c r="P20" s="143">
        <f t="shared" si="1"/>
        <v>15.488714707286855</v>
      </c>
      <c r="Q20" s="144">
        <f t="shared" si="2"/>
        <v>2.343318762004531</v>
      </c>
      <c r="R20" s="144">
        <f t="shared" si="3"/>
        <v>0.85948110251389842</v>
      </c>
      <c r="S20" s="144">
        <f t="shared" si="8"/>
        <v>56.557176575755122</v>
      </c>
      <c r="T20" s="144">
        <f t="shared" si="9"/>
        <v>14.156888309412507</v>
      </c>
      <c r="U20" s="145">
        <f t="shared" si="12"/>
        <v>52.022550313362352</v>
      </c>
      <c r="V20" s="143">
        <f t="shared" si="4"/>
        <v>51.496825507982287</v>
      </c>
      <c r="W20" s="143">
        <f t="shared" si="5"/>
        <v>41.860478000497679</v>
      </c>
      <c r="X20" s="3">
        <f t="shared" si="10"/>
        <v>52.670121331588916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5">
        <f>'All bonds'!E14</f>
        <v>2.3810857206022402</v>
      </c>
      <c r="F21" s="195">
        <f>B21*E21-B20*E20</f>
        <v>3.0930542892410919</v>
      </c>
      <c r="G21" s="138">
        <f t="shared" si="6"/>
        <v>0.78811711894918035</v>
      </c>
      <c r="H21" s="115">
        <f>PRODUCT($D$12:D21)</f>
        <v>0.98820462254350394</v>
      </c>
      <c r="I21" s="115">
        <f>H21*G21</f>
        <v>0.77882098005124856</v>
      </c>
      <c r="J21" s="139">
        <f>$C$6*SUM(I20:$I$50)/(G20*H20)</f>
        <v>1093.0836111671645</v>
      </c>
      <c r="K21" s="140">
        <f t="shared" si="13"/>
        <v>1.6896674862366678E-3</v>
      </c>
      <c r="L21" s="115">
        <f>K21*G21</f>
        <v>1.3316558712349465E-3</v>
      </c>
      <c r="M21" s="141">
        <f>$C$3*SUM(L20:$L$51)/(G20*H20)</f>
        <v>1580.4728329580578</v>
      </c>
      <c r="N21" s="141">
        <f t="shared" si="7"/>
        <v>487.38922179089332</v>
      </c>
      <c r="O21" s="144">
        <v>0</v>
      </c>
      <c r="P21" s="143">
        <f t="shared" si="1"/>
        <v>16.89667486236668</v>
      </c>
      <c r="Q21" s="144">
        <f t="shared" si="2"/>
        <v>2.3901851372446217</v>
      </c>
      <c r="R21" s="144">
        <f t="shared" si="3"/>
        <v>0.97477844358178667</v>
      </c>
      <c r="S21" s="144">
        <f t="shared" si="8"/>
        <v>56.557176575755122</v>
      </c>
      <c r="T21" s="144">
        <f t="shared" si="9"/>
        <v>16.197853928914345</v>
      </c>
      <c r="U21" s="145">
        <f>S21+T21-O21-Q21-R21-P21</f>
        <v>52.493392061476371</v>
      </c>
      <c r="V21" s="143">
        <f t="shared" si="4"/>
        <v>51.874212688139423</v>
      </c>
      <c r="W21" s="143">
        <f t="shared" si="5"/>
        <v>40.882955051533457</v>
      </c>
      <c r="X21" s="3">
        <f t="shared" si="10"/>
        <v>53.189079542596666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5">
        <f>'All bonds'!E15</f>
        <v>2.4490979668038828</v>
      </c>
      <c r="F22" s="195">
        <f t="shared" si="11"/>
        <v>3.1292204288203109</v>
      </c>
      <c r="G22" s="138">
        <f t="shared" si="6"/>
        <v>0.7638370664653148</v>
      </c>
      <c r="H22" s="115">
        <f>PRODUCT($D$12:D22)</f>
        <v>0.98643332382785143</v>
      </c>
      <c r="I22" s="115">
        <f t="shared" si="14"/>
        <v>0.7534743363362959</v>
      </c>
      <c r="J22" s="139">
        <f>$C$6*SUM(I21:$I$50)/(G21*H21)</f>
        <v>1070.9156976676713</v>
      </c>
      <c r="K22" s="140">
        <f t="shared" si="13"/>
        <v>1.771298715652514E-3</v>
      </c>
      <c r="L22" s="115">
        <f t="shared" si="15"/>
        <v>1.3529836147977961E-3</v>
      </c>
      <c r="M22" s="141">
        <f>$C$3*SUM(L21:$L$51)/(G21*H21)</f>
        <v>1616.7428703717032</v>
      </c>
      <c r="N22" s="141">
        <f t="shared" si="7"/>
        <v>545.82717270403191</v>
      </c>
      <c r="O22" s="144">
        <v>0</v>
      </c>
      <c r="P22" s="143">
        <f t="shared" si="1"/>
        <v>17.712987156525138</v>
      </c>
      <c r="Q22" s="144">
        <f t="shared" si="2"/>
        <v>2.4379888399895142</v>
      </c>
      <c r="R22" s="144">
        <f t="shared" si="3"/>
        <v>1.0916543454080638</v>
      </c>
      <c r="S22" s="144">
        <f t="shared" si="8"/>
        <v>56.557176575755122</v>
      </c>
      <c r="T22" s="144">
        <f t="shared" si="9"/>
        <v>18.185205389401162</v>
      </c>
      <c r="U22" s="145">
        <f t="shared" si="12"/>
        <v>53.499751623233571</v>
      </c>
      <c r="V22" s="143">
        <f t="shared" si="4"/>
        <v>52.773937817670785</v>
      </c>
      <c r="W22" s="143">
        <f t="shared" si="5"/>
        <v>40.310689848472592</v>
      </c>
      <c r="X22" s="3">
        <f t="shared" si="10"/>
        <v>54.24722826966493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5">
        <f>'All bonds'!E16</f>
        <v>2.5068730030311168</v>
      </c>
      <c r="F23" s="195">
        <f t="shared" si="11"/>
        <v>3.1423984015306878</v>
      </c>
      <c r="G23" s="138">
        <f t="shared" si="6"/>
        <v>0.74020747507057438</v>
      </c>
      <c r="H23" s="115">
        <f>PRODUCT($D$12:D23)</f>
        <v>0.98449893900552066</v>
      </c>
      <c r="I23" s="115">
        <f t="shared" si="14"/>
        <v>0.7287334738509359</v>
      </c>
      <c r="J23" s="139">
        <f>$C$6*SUM(I22:$I$50)/(G22*H22)</f>
        <v>1048.4812281218046</v>
      </c>
      <c r="K23" s="140">
        <f t="shared" si="13"/>
        <v>1.9343848223307702E-3</v>
      </c>
      <c r="L23" s="115">
        <f t="shared" si="15"/>
        <v>1.431846105152301E-3</v>
      </c>
      <c r="M23" s="141">
        <f>$C$3*SUM(L22:$L$51)/(G22*H22)</f>
        <v>1653.4560608118159</v>
      </c>
      <c r="N23" s="141">
        <f t="shared" si="7"/>
        <v>604.97483269001123</v>
      </c>
      <c r="O23" s="144">
        <v>0</v>
      </c>
      <c r="P23" s="143">
        <f t="shared" si="1"/>
        <v>19.343848223307702</v>
      </c>
      <c r="Q23" s="144">
        <f t="shared" si="2"/>
        <v>2.486748616789304</v>
      </c>
      <c r="R23" s="144">
        <f t="shared" si="3"/>
        <v>1.2099496653800226</v>
      </c>
      <c r="S23" s="144">
        <f t="shared" si="8"/>
        <v>56.557176575755122</v>
      </c>
      <c r="T23" s="144">
        <f t="shared" si="9"/>
        <v>20.063945519689238</v>
      </c>
      <c r="U23" s="145">
        <f t="shared" si="12"/>
        <v>53.580575589967339</v>
      </c>
      <c r="V23" s="143">
        <f t="shared" si="4"/>
        <v>52.750019819627944</v>
      </c>
      <c r="W23" s="143">
        <f t="shared" si="5"/>
        <v>39.045958980609555</v>
      </c>
      <c r="X23" s="3">
        <f t="shared" si="10"/>
        <v>54.358538899925684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5">
        <f>'All bonds'!E17</f>
        <v>2.5554211283640349</v>
      </c>
      <c r="F24" s="195">
        <f t="shared" si="11"/>
        <v>3.1379986323590501</v>
      </c>
      <c r="G24" s="138">
        <f t="shared" si="6"/>
        <v>0.71734043473983211</v>
      </c>
      <c r="H24" s="115">
        <f>PRODUCT($D$12:D24)</f>
        <v>0.98234137479650641</v>
      </c>
      <c r="I24" s="115">
        <f t="shared" si="14"/>
        <v>0.70467318885945029</v>
      </c>
      <c r="J24" s="139">
        <f>$C$6*SUM(I23:$I$50)/(G23*H23)</f>
        <v>1025.6003645408907</v>
      </c>
      <c r="K24" s="140">
        <f t="shared" si="13"/>
        <v>2.1575642090142511E-3</v>
      </c>
      <c r="L24" s="115">
        <f t="shared" si="15"/>
        <v>1.5477080476733848E-3</v>
      </c>
      <c r="M24" s="141">
        <f>$C$3*SUM(L23:$L$51)/(G23*H23)</f>
        <v>1691.0254793448698</v>
      </c>
      <c r="N24" s="141">
        <f t="shared" si="7"/>
        <v>665.42511480397911</v>
      </c>
      <c r="O24" s="144">
        <v>0</v>
      </c>
      <c r="P24" s="143">
        <f t="shared" si="1"/>
        <v>21.575642090142509</v>
      </c>
      <c r="Q24" s="144">
        <f t="shared" si="2"/>
        <v>2.5364835891250905</v>
      </c>
      <c r="R24" s="144">
        <f t="shared" si="3"/>
        <v>1.3308502296079583</v>
      </c>
      <c r="S24" s="144">
        <f t="shared" si="8"/>
        <v>56.557176575755122</v>
      </c>
      <c r="T24" s="144">
        <f t="shared" si="9"/>
        <v>21.857394193318633</v>
      </c>
      <c r="U24" s="145">
        <f t="shared" si="12"/>
        <v>52.971594860198195</v>
      </c>
      <c r="V24" s="143">
        <f t="shared" si="4"/>
        <v>52.036189320130646</v>
      </c>
      <c r="W24" s="143">
        <f t="shared" si="5"/>
        <v>37.327662669106729</v>
      </c>
      <c r="X24" s="3">
        <f t="shared" si="10"/>
        <v>53.757334731624724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5">
        <f>'All bonds'!E18</f>
        <v>2.5957817548369411</v>
      </c>
      <c r="F25" s="195">
        <f t="shared" si="11"/>
        <v>3.120469898984723</v>
      </c>
      <c r="G25" s="138">
        <f t="shared" si="6"/>
        <v>0.69530168693890171</v>
      </c>
      <c r="H25" s="115">
        <f>PRODUCT($D$12:D25)</f>
        <v>0.97987941659878797</v>
      </c>
      <c r="I25" s="115">
        <f t="shared" si="14"/>
        <v>0.68131181135784413</v>
      </c>
      <c r="J25" s="139">
        <f>$C$6*SUM(I24:$I$50)/(G24*H24)</f>
        <v>1002.1300935549963</v>
      </c>
      <c r="K25" s="140">
        <f t="shared" si="13"/>
        <v>2.461958197718439E-3</v>
      </c>
      <c r="L25" s="115">
        <f t="shared" si="15"/>
        <v>1.7118036880466889E-3</v>
      </c>
      <c r="M25" s="141">
        <f>$C$3*SUM(L24:$L$51)/(G24*H24)</f>
        <v>1728.44437696471</v>
      </c>
      <c r="N25" s="141">
        <f t="shared" si="7"/>
        <v>726.31428340971377</v>
      </c>
      <c r="O25" s="144">
        <v>0</v>
      </c>
      <c r="P25" s="143">
        <f t="shared" si="1"/>
        <v>24.619581977184389</v>
      </c>
      <c r="Q25" s="144">
        <f t="shared" si="2"/>
        <v>2.5872132609075922</v>
      </c>
      <c r="R25" s="144">
        <f t="shared" si="3"/>
        <v>1.4526285668194276</v>
      </c>
      <c r="S25" s="144">
        <f t="shared" si="8"/>
        <v>56.557176575755122</v>
      </c>
      <c r="T25" s="144">
        <f t="shared" si="9"/>
        <v>23.53495956353407</v>
      </c>
      <c r="U25" s="145">
        <f t="shared" si="12"/>
        <v>51.43271233437779</v>
      </c>
      <c r="V25" s="143">
        <f t="shared" si="4"/>
        <v>50.397856156303398</v>
      </c>
      <c r="W25" s="143">
        <f t="shared" si="5"/>
        <v>35.041714403581864</v>
      </c>
      <c r="X25" s="3">
        <f t="shared" si="10"/>
        <v>52.195300424048682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5">
        <f>'All bonds'!E19</f>
        <v>2.628956940481757</v>
      </c>
      <c r="F26" s="195">
        <f t="shared" si="11"/>
        <v>3.0934095395091816</v>
      </c>
      <c r="G26" s="138">
        <f t="shared" si="6"/>
        <v>0.67412242771411235</v>
      </c>
      <c r="H26" s="115">
        <f>PRODUCT($D$12:D26)</f>
        <v>0.97718549882519523</v>
      </c>
      <c r="I26" s="115">
        <f t="shared" si="14"/>
        <v>0.65874266079506649</v>
      </c>
      <c r="J26" s="139">
        <f>$C$6*SUM(I25:$I$50)/(G25*H25)</f>
        <v>977.99549574654918</v>
      </c>
      <c r="K26" s="140">
        <f t="shared" si="13"/>
        <v>2.6939177735927355E-3</v>
      </c>
      <c r="L26" s="115">
        <f t="shared" si="15"/>
        <v>1.8160303895965314E-3</v>
      </c>
      <c r="M26" s="141">
        <f>$C$3*SUM(L25:$L$51)/(G25*H25)</f>
        <v>1764.9941045475014</v>
      </c>
      <c r="N26" s="141">
        <f t="shared" si="7"/>
        <v>786.99860880095218</v>
      </c>
      <c r="O26" s="144">
        <v>0</v>
      </c>
      <c r="P26" s="143">
        <f t="shared" si="1"/>
        <v>26.939177735927355</v>
      </c>
      <c r="Q26" s="144">
        <f t="shared" si="2"/>
        <v>2.6389575261257443</v>
      </c>
      <c r="R26" s="144">
        <f t="shared" si="3"/>
        <v>1.5739972176019044</v>
      </c>
      <c r="S26" s="144">
        <f t="shared" si="8"/>
        <v>56.557176575755122</v>
      </c>
      <c r="T26" s="144">
        <f t="shared" si="9"/>
        <v>25.130972098038473</v>
      </c>
      <c r="U26" s="145">
        <f t="shared" si="12"/>
        <v>50.536016194138583</v>
      </c>
      <c r="V26" s="143">
        <f t="shared" si="4"/>
        <v>49.383062193307453</v>
      </c>
      <c r="W26" s="143">
        <f t="shared" si="5"/>
        <v>33.29022977370942</v>
      </c>
      <c r="X26" s="3">
        <f t="shared" si="10"/>
        <v>51.272494976603994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5">
        <f>'All bonds'!E20</f>
        <v>2.6558780144468774</v>
      </c>
      <c r="F27" s="195">
        <f t="shared" si="11"/>
        <v>3.0596941239236841</v>
      </c>
      <c r="G27" s="138">
        <f t="shared" si="6"/>
        <v>0.65380869715423451</v>
      </c>
      <c r="H27" s="115">
        <f>PRODUCT($D$12:D27)</f>
        <v>0.97429439263230044</v>
      </c>
      <c r="I27" s="115">
        <f t="shared" si="14"/>
        <v>0.63700214749160056</v>
      </c>
      <c r="J27" s="139">
        <f>$C$6*SUM(I26:$I$50)/(G26*H26)</f>
        <v>953.00767302830593</v>
      </c>
      <c r="K27" s="140">
        <f t="shared" si="13"/>
        <v>2.8911061928947879E-3</v>
      </c>
      <c r="L27" s="115">
        <f t="shared" si="15"/>
        <v>1.8902303733110803E-3</v>
      </c>
      <c r="M27" s="141">
        <f>$C$3*SUM(L26:$L$51)/(G26*H26)</f>
        <v>1799.4785582794987</v>
      </c>
      <c r="N27" s="141">
        <f t="shared" si="7"/>
        <v>846.47088525119273</v>
      </c>
      <c r="O27" s="144">
        <v>0</v>
      </c>
      <c r="P27" s="143">
        <f t="shared" si="1"/>
        <v>28.911061928947881</v>
      </c>
      <c r="Q27" s="144">
        <f t="shared" si="2"/>
        <v>2.6917366766482584</v>
      </c>
      <c r="R27" s="144">
        <f t="shared" si="3"/>
        <v>1.6929417705023855</v>
      </c>
      <c r="S27" s="144">
        <f t="shared" si="8"/>
        <v>56.557176575755122</v>
      </c>
      <c r="T27" s="144">
        <f t="shared" si="9"/>
        <v>26.611148733296684</v>
      </c>
      <c r="U27" s="145">
        <f t="shared" si="12"/>
        <v>49.872584932953281</v>
      </c>
      <c r="V27" s="143">
        <f t="shared" si="4"/>
        <v>48.590579846254535</v>
      </c>
      <c r="W27" s="143">
        <f t="shared" si="5"/>
        <v>31.768943703248482</v>
      </c>
      <c r="X27" s="3">
        <f t="shared" si="10"/>
        <v>50.576131994002516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5">
        <f>'All bonds'!E21</f>
        <v>2.677391192659222</v>
      </c>
      <c r="F28" s="195">
        <f t="shared" si="11"/>
        <v>3.0216020440567348</v>
      </c>
      <c r="G28" s="138">
        <f t="shared" si="6"/>
        <v>0.63434868286459756</v>
      </c>
      <c r="H28" s="115">
        <f>PRODUCT($D$12:D28)</f>
        <v>0.97101924835240661</v>
      </c>
      <c r="I28" s="115">
        <f t="shared" si="14"/>
        <v>0.61596478122852072</v>
      </c>
      <c r="J28" s="139">
        <f>$C$6*SUM(I27:$I$50)/(G27*H27)</f>
        <v>927.0458312104804</v>
      </c>
      <c r="K28" s="140">
        <f t="shared" si="13"/>
        <v>3.2751442798938379E-3</v>
      </c>
      <c r="L28" s="115">
        <f t="shared" si="15"/>
        <v>2.077583460142177E-3</v>
      </c>
      <c r="M28" s="141">
        <f>$C$3*SUM(L27:$L$51)/(G27*H27)</f>
        <v>1832.3847010957415</v>
      </c>
      <c r="N28" s="141">
        <f t="shared" si="7"/>
        <v>905.33886988526115</v>
      </c>
      <c r="O28" s="144">
        <v>0</v>
      </c>
      <c r="P28" s="143">
        <f t="shared" si="1"/>
        <v>32.751442798938378</v>
      </c>
      <c r="Q28" s="144">
        <f t="shared" si="2"/>
        <v>2.7455714101812241</v>
      </c>
      <c r="R28" s="144">
        <f t="shared" si="3"/>
        <v>1.8106777397705223</v>
      </c>
      <c r="S28" s="144">
        <f t="shared" si="8"/>
        <v>56.557176575755122</v>
      </c>
      <c r="T28" s="144">
        <f t="shared" si="9"/>
        <v>27.937380619048934</v>
      </c>
      <c r="U28" s="145">
        <f t="shared" si="12"/>
        <v>47.186865245913928</v>
      </c>
      <c r="V28" s="143">
        <f t="shared" si="4"/>
        <v>45.819354423193644</v>
      </c>
      <c r="W28" s="143">
        <f t="shared" si="5"/>
        <v>29.065447128059059</v>
      </c>
      <c r="X28" s="3">
        <f t="shared" si="10"/>
        <v>47.811194241074467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5">
        <f>'All bonds'!E22</f>
        <v>2.6942538803239575</v>
      </c>
      <c r="F29" s="195">
        <f t="shared" si="11"/>
        <v>2.980919570624458</v>
      </c>
      <c r="G29" s="138">
        <f t="shared" si="6"/>
        <v>0.61571831648956443</v>
      </c>
      <c r="H29" s="115">
        <f>PRODUCT($D$12:D29)</f>
        <v>0.96730639780222649</v>
      </c>
      <c r="I29" s="115">
        <f t="shared" si="14"/>
        <v>0.59558826678437182</v>
      </c>
      <c r="J29" s="139">
        <f>$C$6*SUM(I28:$I$50)/(G28*H28)</f>
        <v>900.21890742431196</v>
      </c>
      <c r="K29" s="140">
        <f t="shared" si="13"/>
        <v>3.7128505501801135E-3</v>
      </c>
      <c r="L29" s="115">
        <f t="shared" si="15"/>
        <v>2.2860700901342523E-3</v>
      </c>
      <c r="M29" s="141">
        <f>$C$3*SUM(L28:$L$51)/(G28*H28)</f>
        <v>1864.2797784726017</v>
      </c>
      <c r="N29" s="141">
        <f t="shared" si="7"/>
        <v>964.06087104828975</v>
      </c>
      <c r="O29" s="144">
        <v>0</v>
      </c>
      <c r="P29" s="143">
        <f t="shared" si="1"/>
        <v>37.128505501801136</v>
      </c>
      <c r="Q29" s="144">
        <f t="shared" si="2"/>
        <v>2.8004828383848488</v>
      </c>
      <c r="R29" s="144">
        <f t="shared" si="3"/>
        <v>1.9281217420965795</v>
      </c>
      <c r="S29" s="144">
        <f t="shared" si="8"/>
        <v>56.557176575755122</v>
      </c>
      <c r="T29" s="144">
        <f t="shared" si="9"/>
        <v>29.176076336809821</v>
      </c>
      <c r="U29" s="145">
        <f t="shared" si="12"/>
        <v>43.876142830282383</v>
      </c>
      <c r="V29" s="143">
        <f t="shared" si="4"/>
        <v>42.441673670616439</v>
      </c>
      <c r="W29" s="143">
        <f t="shared" si="5"/>
        <v>26.132115861471426</v>
      </c>
      <c r="X29" s="3">
        <f t="shared" si="10"/>
        <v>44.397674549442385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5">
        <f>'All bonds'!E23</f>
        <v>2.7071371076450825</v>
      </c>
      <c r="F30" s="195">
        <f t="shared" si="11"/>
        <v>2.9390351994253336</v>
      </c>
      <c r="G30" s="138">
        <f t="shared" si="6"/>
        <v>0.59788547876541975</v>
      </c>
      <c r="H30" s="115">
        <f>PRODUCT($D$12:D30)</f>
        <v>0.96309783319744502</v>
      </c>
      <c r="I30" s="115">
        <f t="shared" si="14"/>
        <v>0.57582220909919279</v>
      </c>
      <c r="J30" s="139">
        <f>$C$6*SUM(I29:$I$50)/(G29*H29)</f>
        <v>872.52543821711561</v>
      </c>
      <c r="K30" s="140">
        <f t="shared" si="13"/>
        <v>4.2085646047814729E-3</v>
      </c>
      <c r="L30" s="115">
        <f t="shared" si="15"/>
        <v>2.5162396636449706E-3</v>
      </c>
      <c r="M30" s="141">
        <f>$C$3*SUM(L29:$L$51)/(G29*H29)</f>
        <v>1893.1784156561166</v>
      </c>
      <c r="N30" s="141">
        <f t="shared" si="7"/>
        <v>1020.652977439001</v>
      </c>
      <c r="O30" s="144">
        <v>0</v>
      </c>
      <c r="P30" s="143">
        <f t="shared" si="1"/>
        <v>42.085646047814727</v>
      </c>
      <c r="Q30" s="144">
        <f t="shared" si="2"/>
        <v>2.8564924951525454</v>
      </c>
      <c r="R30" s="144">
        <f t="shared" si="3"/>
        <v>2.0413059548780019</v>
      </c>
      <c r="S30" s="144">
        <f t="shared" si="8"/>
        <v>56.557176575755122</v>
      </c>
      <c r="T30" s="144">
        <f t="shared" si="9"/>
        <v>30.278725626583402</v>
      </c>
      <c r="U30" s="145">
        <f t="shared" si="12"/>
        <v>39.852457704493254</v>
      </c>
      <c r="V30" s="143">
        <f t="shared" si="4"/>
        <v>38.381815662790274</v>
      </c>
      <c r="W30" s="143">
        <f t="shared" si="5"/>
        <v>22.94793023343345</v>
      </c>
      <c r="X30" s="3">
        <f t="shared" si="10"/>
        <v>40.251339029679642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5">
        <f>'All bonds'!E24</f>
        <v>2.7166304913512533</v>
      </c>
      <c r="F31" s="195">
        <f t="shared" si="11"/>
        <v>2.8970047817685014</v>
      </c>
      <c r="G31" s="138">
        <f t="shared" si="6"/>
        <v>0.58081319430038336</v>
      </c>
      <c r="H31" s="115">
        <f>PRODUCT($D$12:D31)</f>
        <v>0.9584939744600528</v>
      </c>
      <c r="I31" s="115">
        <f t="shared" si="14"/>
        <v>0.55670594702381337</v>
      </c>
      <c r="J31" s="139">
        <f>$C$6*SUM(I30:$I$50)/(G30*H30)</f>
        <v>843.97773309629031</v>
      </c>
      <c r="K31" s="140">
        <f t="shared" si="13"/>
        <v>4.6038587373922191E-3</v>
      </c>
      <c r="L31" s="115">
        <f t="shared" si="15"/>
        <v>2.6739818993725046E-3</v>
      </c>
      <c r="M31" s="141">
        <f>$C$3*SUM(L30:$L$51)/(G30*H30)</f>
        <v>1918.463951088363</v>
      </c>
      <c r="N31" s="141">
        <f t="shared" si="7"/>
        <v>1074.4862179920729</v>
      </c>
      <c r="O31" s="144">
        <v>0</v>
      </c>
      <c r="P31" s="143">
        <f t="shared" si="1"/>
        <v>46.038587373922191</v>
      </c>
      <c r="Q31" s="144">
        <f t="shared" si="2"/>
        <v>2.9136223450555963</v>
      </c>
      <c r="R31" s="144">
        <f t="shared" si="3"/>
        <v>2.1489724359841458</v>
      </c>
      <c r="S31" s="144">
        <f t="shared" si="8"/>
        <v>56.557176575755122</v>
      </c>
      <c r="T31" s="144">
        <f t="shared" si="9"/>
        <v>31.285977533937281</v>
      </c>
      <c r="U31" s="145">
        <f t="shared" si="12"/>
        <v>36.741971954730467</v>
      </c>
      <c r="V31" s="143">
        <f t="shared" si="4"/>
        <v>35.2169587283894</v>
      </c>
      <c r="W31" s="143">
        <f t="shared" si="5"/>
        <v>20.454474292580613</v>
      </c>
      <c r="X31" s="3">
        <f t="shared" si="10"/>
        <v>37.024888660415087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5">
        <f>'All bonds'!E25</f>
        <v>2.7232494038034414</v>
      </c>
      <c r="F32" s="195">
        <f t="shared" si="11"/>
        <v>2.855627652847204</v>
      </c>
      <c r="G32" s="138">
        <f t="shared" si="6"/>
        <v>0.56446190916033034</v>
      </c>
      <c r="H32" s="115">
        <f>PRODUCT($D$12:D32)</f>
        <v>0.95334846950538654</v>
      </c>
      <c r="I32" s="115">
        <f t="shared" si="14"/>
        <v>0.53812889719208945</v>
      </c>
      <c r="J32" s="139">
        <f>$C$6*SUM(I31:$I$50)/(G31*H31)</f>
        <v>814.45913550906516</v>
      </c>
      <c r="K32" s="140">
        <f t="shared" si="13"/>
        <v>5.1455049546662579E-3</v>
      </c>
      <c r="L32" s="115">
        <f t="shared" si="15"/>
        <v>2.9044415503048549E-3</v>
      </c>
      <c r="M32" s="141">
        <f>$C$3*SUM(L31:$L$51)/(G31*H31)</f>
        <v>1939.141766901656</v>
      </c>
      <c r="N32" s="141">
        <f t="shared" si="7"/>
        <v>1124.6826313925908</v>
      </c>
      <c r="O32" s="144">
        <v>0</v>
      </c>
      <c r="P32" s="143">
        <f t="shared" si="1"/>
        <v>51.455049546662579</v>
      </c>
      <c r="Q32" s="144">
        <f t="shared" si="2"/>
        <v>2.9718947919567085</v>
      </c>
      <c r="R32" s="144">
        <f t="shared" si="3"/>
        <v>2.2493652627851817</v>
      </c>
      <c r="S32" s="144">
        <f t="shared" si="8"/>
        <v>56.557176575755122</v>
      </c>
      <c r="T32" s="144">
        <f t="shared" si="9"/>
        <v>32.113346233192296</v>
      </c>
      <c r="U32" s="145">
        <f t="shared" si="12"/>
        <v>31.994213207542956</v>
      </c>
      <c r="V32" s="143">
        <f t="shared" si="4"/>
        <v>30.501634194440101</v>
      </c>
      <c r="W32" s="143">
        <f t="shared" si="5"/>
        <v>17.217010669903672</v>
      </c>
      <c r="X32" s="3">
        <f t="shared" si="10"/>
        <v>32.147863581974391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5">
        <f>'All bonds'!E26</f>
        <v>2.7274420694849604</v>
      </c>
      <c r="F33" s="195">
        <f t="shared" si="11"/>
        <v>2.8154880487968583</v>
      </c>
      <c r="G33" s="138">
        <f t="shared" si="6"/>
        <v>0.54879119034004287</v>
      </c>
      <c r="H33" s="115">
        <f>PRODUCT($D$12:D33)</f>
        <v>0.94778226433062707</v>
      </c>
      <c r="I33" s="115">
        <f t="shared" si="14"/>
        <v>0.52013455702518596</v>
      </c>
      <c r="J33" s="139">
        <f>$C$6*SUM(I32:$I$50)/(G32*H32)</f>
        <v>784.06591803703293</v>
      </c>
      <c r="K33" s="140">
        <f t="shared" si="13"/>
        <v>5.5662051747594754E-3</v>
      </c>
      <c r="L33" s="115">
        <f t="shared" si="15"/>
        <v>3.0546843635331587E-3</v>
      </c>
      <c r="M33" s="141">
        <f>$C$3*SUM(L32:$L$51)/(G32*H32)</f>
        <v>1956.393608029731</v>
      </c>
      <c r="N33" s="141">
        <f t="shared" si="7"/>
        <v>1172.3276899926982</v>
      </c>
      <c r="O33" s="144">
        <v>0</v>
      </c>
      <c r="P33" s="143">
        <f t="shared" si="1"/>
        <v>55.662051747594752</v>
      </c>
      <c r="Q33" s="144">
        <f t="shared" si="2"/>
        <v>3.0313326877958424</v>
      </c>
      <c r="R33" s="144">
        <f t="shared" si="3"/>
        <v>2.3446553799853964</v>
      </c>
      <c r="S33" s="144">
        <f t="shared" si="8"/>
        <v>56.557176575755122</v>
      </c>
      <c r="T33" s="144">
        <f t="shared" si="9"/>
        <v>32.880587835486246</v>
      </c>
      <c r="U33" s="145">
        <f t="shared" si="12"/>
        <v>28.399724595865386</v>
      </c>
      <c r="V33" s="143">
        <f t="shared" si="4"/>
        <v>26.916755283835499</v>
      </c>
      <c r="W33" s="143">
        <f t="shared" si="5"/>
        <v>14.771678172307722</v>
      </c>
      <c r="X33" s="3">
        <f t="shared" si="10"/>
        <v>28.440603661660578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5">
        <f>'All bonds'!E27</f>
        <v>2.729596837035039</v>
      </c>
      <c r="F34" s="195">
        <f t="shared" si="11"/>
        <v>2.7770017231367703</v>
      </c>
      <c r="G34" s="138">
        <f t="shared" si="6"/>
        <v>0.53376091098698419</v>
      </c>
      <c r="H34" s="115">
        <f>PRODUCT($D$12:D34)</f>
        <v>0.94172175522327528</v>
      </c>
      <c r="I34" s="115">
        <f t="shared" si="14"/>
        <v>0.50265426196423713</v>
      </c>
      <c r="J34" s="139">
        <f>$C$6*SUM(I33:$I$50)/(G33*H33)</f>
        <v>752.6773052327793</v>
      </c>
      <c r="K34" s="140">
        <f t="shared" si="13"/>
        <v>6.0605091073517858E-3</v>
      </c>
      <c r="L34" s="115">
        <f t="shared" si="15"/>
        <v>3.2348628621850038E-3</v>
      </c>
      <c r="M34" s="141">
        <f>$C$3*SUM(L33:$L$51)/(G33*H33)</f>
        <v>1968.2359217099117</v>
      </c>
      <c r="N34" s="141">
        <f t="shared" si="7"/>
        <v>1215.5586164771325</v>
      </c>
      <c r="O34" s="144">
        <v>0</v>
      </c>
      <c r="P34" s="143">
        <f t="shared" si="1"/>
        <v>60.605091073517855</v>
      </c>
      <c r="Q34" s="144">
        <f t="shared" si="2"/>
        <v>3.0919593415517594</v>
      </c>
      <c r="R34" s="144">
        <f t="shared" si="3"/>
        <v>2.4311172329542652</v>
      </c>
      <c r="S34" s="144">
        <f t="shared" si="8"/>
        <v>56.557176575755122</v>
      </c>
      <c r="T34" s="144">
        <f t="shared" si="9"/>
        <v>33.490297138309295</v>
      </c>
      <c r="U34" s="145">
        <f t="shared" si="12"/>
        <v>23.919306066040534</v>
      </c>
      <c r="V34" s="143">
        <f t="shared" si="4"/>
        <v>22.525330892234425</v>
      </c>
      <c r="W34" s="143">
        <f t="shared" si="5"/>
        <v>12.023141137322304</v>
      </c>
      <c r="X34" s="3">
        <f t="shared" si="10"/>
        <v>23.860216452525648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5">
        <f>'All bonds'!E28</f>
        <v>2.7300490600292013</v>
      </c>
      <c r="F35" s="195">
        <f t="shared" si="11"/>
        <v>2.7404501888949255</v>
      </c>
      <c r="G35" s="138">
        <f t="shared" si="6"/>
        <v>0.51933206969951895</v>
      </c>
      <c r="H35" s="115">
        <f>PRODUCT($D$12:D35)</f>
        <v>0.93514321995631577</v>
      </c>
      <c r="I35" s="115">
        <f t="shared" si="14"/>
        <v>0.48564986388538595</v>
      </c>
      <c r="J35" s="139">
        <f>$C$6*SUM(I34:$I$50)/(G34*H34)</f>
        <v>720.32838902119488</v>
      </c>
      <c r="K35" s="140">
        <f t="shared" si="13"/>
        <v>6.5785352669595065E-3</v>
      </c>
      <c r="L35" s="115">
        <f t="shared" si="15"/>
        <v>3.4164443357813578E-3</v>
      </c>
      <c r="M35" s="141">
        <f>$C$3*SUM(L34:$L$51)/(G34*H34)</f>
        <v>1975.9121741913655</v>
      </c>
      <c r="N35" s="141">
        <f t="shared" si="7"/>
        <v>1255.5837851701706</v>
      </c>
      <c r="O35" s="144">
        <v>0</v>
      </c>
      <c r="P35" s="143">
        <f t="shared" si="1"/>
        <v>65.785352669595071</v>
      </c>
      <c r="Q35" s="144">
        <f t="shared" si="2"/>
        <v>3.1537985283827941</v>
      </c>
      <c r="R35" s="144">
        <f t="shared" si="3"/>
        <v>2.5111675703403411</v>
      </c>
      <c r="S35" s="144">
        <f t="shared" si="8"/>
        <v>56.557176575755122</v>
      </c>
      <c r="T35" s="144">
        <f t="shared" si="9"/>
        <v>34.000509069081509</v>
      </c>
      <c r="U35" s="145">
        <f t="shared" si="12"/>
        <v>19.107366876518412</v>
      </c>
      <c r="V35" s="143">
        <f t="shared" si="4"/>
        <v>17.868124585794082</v>
      </c>
      <c r="W35" s="143">
        <f t="shared" si="5"/>
        <v>9.2794901227892996</v>
      </c>
      <c r="X35" s="3">
        <f t="shared" si="10"/>
        <v>18.974453110125072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5">
        <f>'All bonds'!E29</f>
        <v>2.7290874700094365</v>
      </c>
      <c r="F36" s="195">
        <f t="shared" si="11"/>
        <v>2.7060093095350908</v>
      </c>
      <c r="G36" s="138">
        <f t="shared" si="6"/>
        <v>0.50546733211685646</v>
      </c>
      <c r="H36" s="115">
        <f>PRODUCT($D$12:D36)</f>
        <v>0.92768528834132047</v>
      </c>
      <c r="I36" s="115">
        <f t="shared" si="14"/>
        <v>0.46891460774194399</v>
      </c>
      <c r="J36" s="139">
        <f>$C$6*SUM(I35:$I$50)/(G35*H35)</f>
        <v>687.01229778087759</v>
      </c>
      <c r="K36" s="140">
        <f t="shared" si="13"/>
        <v>7.4579316149953057E-3</v>
      </c>
      <c r="L36" s="115">
        <f t="shared" si="15"/>
        <v>3.7697407965416358E-3</v>
      </c>
      <c r="M36" s="141">
        <f>$C$3*SUM(L35:$L$51)/(G35*H35)</f>
        <v>1978.4872156974895</v>
      </c>
      <c r="N36" s="141">
        <f t="shared" si="7"/>
        <v>1291.474917916612</v>
      </c>
      <c r="O36" s="144">
        <v>0</v>
      </c>
      <c r="P36" s="143">
        <f t="shared" si="1"/>
        <v>74.579316149953058</v>
      </c>
      <c r="Q36" s="144">
        <f t="shared" si="2"/>
        <v>3.2168744989504501</v>
      </c>
      <c r="R36" s="144">
        <f t="shared" si="3"/>
        <v>2.5829498358332241</v>
      </c>
      <c r="S36" s="144">
        <f t="shared" si="8"/>
        <v>56.557176575755122</v>
      </c>
      <c r="T36" s="144">
        <f t="shared" si="9"/>
        <v>34.302806948043063</v>
      </c>
      <c r="U36" s="145">
        <f t="shared" si="12"/>
        <v>10.480843039061455</v>
      </c>
      <c r="V36" s="143">
        <f t="shared" si="4"/>
        <v>9.7229238967518476</v>
      </c>
      <c r="W36" s="143">
        <f t="shared" si="5"/>
        <v>4.9146204024663867</v>
      </c>
      <c r="X36" s="3">
        <f t="shared" si="10"/>
        <v>10.350808588094054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5">
        <f>'All bonds'!E30</f>
        <v>2.7269599760752272</v>
      </c>
      <c r="F37" s="195">
        <f t="shared" si="11"/>
        <v>2.6737726277199982</v>
      </c>
      <c r="G37" s="138">
        <f t="shared" si="6"/>
        <v>0.49213136613999703</v>
      </c>
      <c r="H37" s="115">
        <f>PRODUCT($D$12:D37)</f>
        <v>0.91935247309226886</v>
      </c>
      <c r="I37" s="115">
        <f t="shared" si="14"/>
        <v>0.45244218854708312</v>
      </c>
      <c r="J37" s="139">
        <f>$C$6*SUM(I36:$I$50)/(G36*H36)</f>
        <v>652.95565278617062</v>
      </c>
      <c r="K37" s="140">
        <f t="shared" si="13"/>
        <v>8.3328152490516061E-3</v>
      </c>
      <c r="L37" s="115">
        <f t="shared" si="15"/>
        <v>4.1008397523079661E-3</v>
      </c>
      <c r="M37" s="141">
        <f>$C$3*SUM(L36:$L$51)/(G36*H36)</f>
        <v>1976.2395718638584</v>
      </c>
      <c r="N37" s="141">
        <f t="shared" si="7"/>
        <v>1323.2839190776876</v>
      </c>
      <c r="O37" s="144">
        <v>0</v>
      </c>
      <c r="P37" s="143">
        <f t="shared" si="1"/>
        <v>83.328152490516061</v>
      </c>
      <c r="Q37" s="144">
        <f t="shared" si="2"/>
        <v>3.2812119889294591</v>
      </c>
      <c r="R37" s="144">
        <f t="shared" si="3"/>
        <v>2.6465678381553754</v>
      </c>
      <c r="S37" s="144">
        <f t="shared" si="8"/>
        <v>56.557176575755122</v>
      </c>
      <c r="T37" s="144">
        <f t="shared" si="9"/>
        <v>34.507312834689174</v>
      </c>
      <c r="U37" s="145">
        <f t="shared" si="12"/>
        <v>1.8085570928434009</v>
      </c>
      <c r="V37" s="143">
        <f t="shared" si="4"/>
        <v>1.6627014360341448</v>
      </c>
      <c r="W37" s="143">
        <f t="shared" si="5"/>
        <v>0.8182675291984185</v>
      </c>
      <c r="X37" s="3">
        <f t="shared" si="10"/>
        <v>1.7745112562331316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5">
        <f>'All bonds'!E31</f>
        <v>2.7238788780655168</v>
      </c>
      <c r="F38" s="195">
        <f t="shared" si="11"/>
        <v>2.6437703298130373</v>
      </c>
      <c r="G38" s="138">
        <f t="shared" si="6"/>
        <v>0.47929102554565678</v>
      </c>
      <c r="H38" s="115">
        <f>PRODUCT($D$12:D38)</f>
        <v>0.9102993702325356</v>
      </c>
      <c r="I38" s="115">
        <f t="shared" si="14"/>
        <v>0.4362983187123175</v>
      </c>
      <c r="J38" s="139">
        <f>$C$6*SUM(I37:$I$50)/(G37*H37)</f>
        <v>618.112025379785</v>
      </c>
      <c r="K38" s="140">
        <f t="shared" si="13"/>
        <v>9.0531028597332641E-3</v>
      </c>
      <c r="L38" s="115">
        <f t="shared" si="15"/>
        <v>4.3390709540118743E-3</v>
      </c>
      <c r="M38" s="141">
        <f>$C$3*SUM(L37:$L$51)/(G37*H37)</f>
        <v>1964.8702490234728</v>
      </c>
      <c r="N38" s="141">
        <f t="shared" si="7"/>
        <v>1346.7582236436879</v>
      </c>
      <c r="O38" s="144">
        <v>0</v>
      </c>
      <c r="P38" s="143">
        <f t="shared" si="1"/>
        <v>90.531028597332636</v>
      </c>
      <c r="Q38" s="144">
        <f t="shared" si="2"/>
        <v>3.3468362287080486</v>
      </c>
      <c r="R38" s="144">
        <f t="shared" si="3"/>
        <v>2.6935164472873758</v>
      </c>
      <c r="S38" s="144">
        <f t="shared" si="8"/>
        <v>56.557176575755122</v>
      </c>
      <c r="T38" s="144">
        <f t="shared" si="9"/>
        <v>34.54731065950385</v>
      </c>
      <c r="U38" s="145">
        <f t="shared" si="12"/>
        <v>-5.4668940380690856</v>
      </c>
      <c r="V38" s="143">
        <f t="shared" si="4"/>
        <v>-4.9765101999822923</v>
      </c>
      <c r="W38" s="143">
        <f t="shared" si="5"/>
        <v>-2.3851966773879343</v>
      </c>
      <c r="X38" s="3">
        <f t="shared" si="10"/>
        <v>-5.3244711825395292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5">
        <f>'All bonds'!E32</f>
        <v>2.7200255109193021</v>
      </c>
      <c r="F39" s="195">
        <f t="shared" si="11"/>
        <v>2.6159845979715044</v>
      </c>
      <c r="G39" s="138">
        <f t="shared" si="6"/>
        <v>0.46691542380500017</v>
      </c>
      <c r="H39" s="115">
        <f>PRODUCT($D$12:D39)</f>
        <v>0.90062735185070897</v>
      </c>
      <c r="I39" s="115">
        <f t="shared" si="14"/>
        <v>0.42051680167974881</v>
      </c>
      <c r="J39" s="139">
        <f>$C$6*SUM(I38:$I$50)/(G38*H38)</f>
        <v>582.3334491225686</v>
      </c>
      <c r="K39" s="140">
        <f t="shared" si="13"/>
        <v>9.6720183818266303E-3</v>
      </c>
      <c r="L39" s="115">
        <f t="shared" si="15"/>
        <v>4.5160145618003333E-3</v>
      </c>
      <c r="M39" s="141">
        <f>$C$3*SUM(L38:$L$51)/(G38*H38)</f>
        <v>1943.5825484243665</v>
      </c>
      <c r="N39" s="141">
        <f t="shared" si="7"/>
        <v>1361.2490993017977</v>
      </c>
      <c r="O39" s="144">
        <v>0</v>
      </c>
      <c r="P39" s="143">
        <f t="shared" si="1"/>
        <v>96.720183818266307</v>
      </c>
      <c r="Q39" s="144">
        <f t="shared" si="2"/>
        <v>3.413772953282209</v>
      </c>
      <c r="R39" s="144">
        <f t="shared" si="3"/>
        <v>2.7224981986035957</v>
      </c>
      <c r="S39" s="144">
        <f t="shared" si="8"/>
        <v>56.557176575755122</v>
      </c>
      <c r="T39" s="144">
        <f t="shared" si="9"/>
        <v>34.398884785991484</v>
      </c>
      <c r="U39" s="145">
        <f t="shared" si="12"/>
        <v>-11.900393608405508</v>
      </c>
      <c r="V39" s="143">
        <f t="shared" si="4"/>
        <v>-10.717819981519355</v>
      </c>
      <c r="W39" s="143">
        <f t="shared" si="5"/>
        <v>-5.0043154589368086</v>
      </c>
      <c r="X39" s="3">
        <f t="shared" si="10"/>
        <v>-11.495957147129495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5">
        <f>'All bonds'!E33</f>
        <v>2.7155543546283001</v>
      </c>
      <c r="F40" s="195">
        <f t="shared" si="11"/>
        <v>2.5903619784802459</v>
      </c>
      <c r="G40" s="138">
        <f t="shared" si="6"/>
        <v>0.45497592985768037</v>
      </c>
      <c r="H40" s="115">
        <f>PRODUCT($D$12:D40)</f>
        <v>0.8902412966293034</v>
      </c>
      <c r="I40" s="115">
        <f t="shared" si="14"/>
        <v>0.40503836173162439</v>
      </c>
      <c r="J40" s="139">
        <f>$C$6*SUM(I39:$I$50)/(G39*H39)</f>
        <v>545.50805773916159</v>
      </c>
      <c r="K40" s="140">
        <f t="shared" si="13"/>
        <v>1.0386055221405566E-2</v>
      </c>
      <c r="L40" s="115">
        <f t="shared" si="15"/>
        <v>4.725405131912214E-3</v>
      </c>
      <c r="M40" s="141">
        <f>$C$3*SUM(L39:$L$51)/(G39*H39)</f>
        <v>1913.3387427139778</v>
      </c>
      <c r="N40" s="141">
        <f t="shared" si="7"/>
        <v>1367.8306849748162</v>
      </c>
      <c r="O40" s="144">
        <v>0</v>
      </c>
      <c r="P40" s="143">
        <f t="shared" si="1"/>
        <v>103.86055221405566</v>
      </c>
      <c r="Q40" s="144">
        <f t="shared" si="2"/>
        <v>3.4820484123478539</v>
      </c>
      <c r="R40" s="144">
        <f t="shared" si="3"/>
        <v>2.7356613699496326</v>
      </c>
      <c r="S40" s="144">
        <f t="shared" si="8"/>
        <v>56.557176575755122</v>
      </c>
      <c r="T40" s="144">
        <f t="shared" si="9"/>
        <v>34.045376146368447</v>
      </c>
      <c r="U40" s="145">
        <f t="shared" si="12"/>
        <v>-19.475709274229587</v>
      </c>
      <c r="V40" s="143">
        <f t="shared" si="4"/>
        <v>-17.338080677065498</v>
      </c>
      <c r="W40" s="143">
        <f t="shared" si="5"/>
        <v>-7.8884093779953552</v>
      </c>
      <c r="X40" s="3">
        <f t="shared" si="10"/>
        <v>-18.643471924454261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5">
        <f>'All bonds'!E34</f>
        <v>2.7105966525155396</v>
      </c>
      <c r="F41" s="195">
        <f t="shared" si="11"/>
        <v>2.566823291245484</v>
      </c>
      <c r="G41" s="138">
        <f t="shared" si="6"/>
        <v>0.44344610980981691</v>
      </c>
      <c r="H41" s="115">
        <f>PRODUCT($D$12:D41)</f>
        <v>0.8788272245150891</v>
      </c>
      <c r="I41" s="115">
        <f t="shared" si="14"/>
        <v>0.38971251390617484</v>
      </c>
      <c r="J41" s="139">
        <f>$C$6*SUM(I40:$I$50)/(G40*H40)</f>
        <v>507.63601710785036</v>
      </c>
      <c r="K41" s="140">
        <f t="shared" si="13"/>
        <v>1.1414072114214302E-2</v>
      </c>
      <c r="L41" s="115">
        <f t="shared" si="15"/>
        <v>5.0615258761370447E-3</v>
      </c>
      <c r="M41" s="141">
        <f>$C$3*SUM(L40:$L$51)/(G40*H40)</f>
        <v>1874.9605339881957</v>
      </c>
      <c r="N41" s="141">
        <f t="shared" si="7"/>
        <v>1367.3245168803453</v>
      </c>
      <c r="O41" s="144">
        <v>0</v>
      </c>
      <c r="P41" s="143">
        <f t="shared" si="1"/>
        <v>114.14072114214302</v>
      </c>
      <c r="Q41" s="144">
        <f t="shared" si="2"/>
        <v>3.5516893805948104</v>
      </c>
      <c r="R41" s="144">
        <f t="shared" si="3"/>
        <v>2.7346490337606908</v>
      </c>
      <c r="S41" s="144">
        <f t="shared" si="8"/>
        <v>56.557176575755122</v>
      </c>
      <c r="T41" s="144">
        <f t="shared" si="9"/>
        <v>33.457377133753539</v>
      </c>
      <c r="U41" s="145">
        <f t="shared" si="12"/>
        <v>-30.412505846989859</v>
      </c>
      <c r="V41" s="143">
        <f t="shared" si="4"/>
        <v>-26.727338104059015</v>
      </c>
      <c r="W41" s="143">
        <f t="shared" si="5"/>
        <v>-11.852134107816658</v>
      </c>
      <c r="X41" s="3">
        <f t="shared" si="10"/>
        <v>-28.8116796159138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5">
        <f>'All bonds'!E35</f>
        <v>2.7052635836649879</v>
      </c>
      <c r="F42" s="195">
        <f t="shared" si="11"/>
        <v>2.5452715181484393</v>
      </c>
      <c r="G42" s="138">
        <f t="shared" si="6"/>
        <v>0.43230163252887305</v>
      </c>
      <c r="H42" s="115">
        <f>PRODUCT($D$12:D42)</f>
        <v>0.86652907391420675</v>
      </c>
      <c r="I42" s="115">
        <f t="shared" si="14"/>
        <v>0.3746019332868441</v>
      </c>
      <c r="J42" s="139">
        <f>$C$6*SUM(I41:$I$50)/(G41*H41)</f>
        <v>468.81798264478482</v>
      </c>
      <c r="K42" s="140">
        <f t="shared" si="13"/>
        <v>1.2298150600882352E-2</v>
      </c>
      <c r="L42" s="115">
        <f t="shared" si="15"/>
        <v>5.3165105818473819E-3</v>
      </c>
      <c r="M42" s="141">
        <f>$C$3*SUM(L41:$L$51)/(G41*H41)</f>
        <v>1827.4416814092049</v>
      </c>
      <c r="N42" s="141">
        <f t="shared" si="7"/>
        <v>1358.6236987644202</v>
      </c>
      <c r="O42" s="144">
        <v>0</v>
      </c>
      <c r="P42" s="143">
        <f t="shared" si="1"/>
        <v>122.98150600882352</v>
      </c>
      <c r="Q42" s="144">
        <f t="shared" si="2"/>
        <v>3.6227231682067069</v>
      </c>
      <c r="R42" s="144">
        <f t="shared" si="3"/>
        <v>2.7172473975288405</v>
      </c>
      <c r="S42" s="144">
        <f t="shared" si="8"/>
        <v>56.557176575755122</v>
      </c>
      <c r="T42" s="144">
        <f t="shared" si="9"/>
        <v>32.728613040215997</v>
      </c>
      <c r="U42" s="145">
        <f t="shared" si="12"/>
        <v>-40.035686958587945</v>
      </c>
      <c r="V42" s="143">
        <f t="shared" si="4"/>
        <v>-34.692086743744298</v>
      </c>
      <c r="W42" s="143">
        <f t="shared" si="5"/>
        <v>-14.997445735153935</v>
      </c>
      <c r="X42" s="3">
        <f t="shared" si="10"/>
        <v>-37.49129039910671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5">
        <f>'All bonds'!E36</f>
        <v>2.6996490352598093</v>
      </c>
      <c r="F43" s="195">
        <f t="shared" si="11"/>
        <v>2.5255980346992715</v>
      </c>
      <c r="G43" s="138">
        <f t="shared" si="6"/>
        <v>0.42152015250510699</v>
      </c>
      <c r="H43" s="115">
        <f>PRODUCT($D$12:D43)</f>
        <v>0.85284713256814604</v>
      </c>
      <c r="I43" s="115">
        <f t="shared" si="14"/>
        <v>0.35949225338366814</v>
      </c>
      <c r="J43" s="139">
        <f>$C$6*SUM(I42:$I$50)/(G42*H42)</f>
        <v>428.89045902259898</v>
      </c>
      <c r="K43" s="140">
        <f t="shared" si="13"/>
        <v>1.3681941346060711E-2</v>
      </c>
      <c r="L43" s="115">
        <f t="shared" si="15"/>
        <v>5.7672140027574398E-3</v>
      </c>
      <c r="M43" s="141">
        <f>$C$3*SUM(L42:$L$51)/(G42*H42)</f>
        <v>1766.0390247130938</v>
      </c>
      <c r="N43" s="141">
        <f t="shared" si="7"/>
        <v>1337.1485656904947</v>
      </c>
      <c r="O43" s="144">
        <v>0</v>
      </c>
      <c r="P43" s="143">
        <f t="shared" si="1"/>
        <v>136.81941346060711</v>
      </c>
      <c r="Q43" s="144">
        <f t="shared" si="2"/>
        <v>3.6951776315708402</v>
      </c>
      <c r="R43" s="144">
        <f t="shared" si="3"/>
        <v>2.6742971313809893</v>
      </c>
      <c r="S43" s="144">
        <f t="shared" si="8"/>
        <v>56.557176575755122</v>
      </c>
      <c r="T43" s="144">
        <f t="shared" si="9"/>
        <v>31.583029089285354</v>
      </c>
      <c r="U43" s="145">
        <f t="shared" si="12"/>
        <v>-55.048682558518479</v>
      </c>
      <c r="V43" s="143">
        <f t="shared" si="4"/>
        <v>-46.948111071686597</v>
      </c>
      <c r="W43" s="143">
        <f t="shared" si="5"/>
        <v>-19.789574938764037</v>
      </c>
      <c r="X43" s="3">
        <f t="shared" si="10"/>
        <v>-50.863376151338322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5">
        <f>'All bonds'!E37</f>
        <v>2.6938320186748927</v>
      </c>
      <c r="F44" s="195">
        <f t="shared" si="11"/>
        <v>2.5076874879575684</v>
      </c>
      <c r="G44" s="138">
        <f t="shared" si="6"/>
        <v>0.4110811798270062</v>
      </c>
      <c r="H44" s="115">
        <f>PRODUCT($D$12:D44)</f>
        <v>0.83792936449023636</v>
      </c>
      <c r="I44" s="115">
        <f t="shared" si="14"/>
        <v>0.34445699176633987</v>
      </c>
      <c r="J44" s="139">
        <f>$C$6*SUM(I43:$I$50)/(G43*H43)</f>
        <v>387.98267867755055</v>
      </c>
      <c r="K44" s="140">
        <f t="shared" si="13"/>
        <v>1.4917768077909677E-2</v>
      </c>
      <c r="L44" s="115">
        <f t="shared" si="15"/>
        <v>6.1324137018527606E-3</v>
      </c>
      <c r="M44" s="141">
        <f>$C$3*SUM(L43:$L$51)/(G43*H43)</f>
        <v>1692.3772942883211</v>
      </c>
      <c r="N44" s="141">
        <f t="shared" si="7"/>
        <v>1304.3946156107704</v>
      </c>
      <c r="O44" s="144">
        <v>0</v>
      </c>
      <c r="P44" s="143">
        <f t="shared" si="1"/>
        <v>149.17768077909676</v>
      </c>
      <c r="Q44" s="144">
        <f t="shared" si="2"/>
        <v>3.7690811842022578</v>
      </c>
      <c r="R44" s="144">
        <f t="shared" si="3"/>
        <v>2.6087892312215408</v>
      </c>
      <c r="S44" s="144">
        <f t="shared" si="8"/>
        <v>56.557176575755122</v>
      </c>
      <c r="T44" s="144">
        <f t="shared" si="9"/>
        <v>30.227570715667365</v>
      </c>
      <c r="U44" s="145">
        <f t="shared" si="12"/>
        <v>-68.77080390309807</v>
      </c>
      <c r="V44" s="143">
        <f t="shared" si="4"/>
        <v>-57.625076010005635</v>
      </c>
      <c r="W44" s="143">
        <f t="shared" si="5"/>
        <v>-23.688584233814026</v>
      </c>
      <c r="X44" s="3">
        <f t="shared" si="10"/>
        <v>-62.587220854329075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5">
        <f>'All bonds'!E38</f>
        <v>2.6878787702479112</v>
      </c>
      <c r="F45" s="195">
        <f t="shared" si="11"/>
        <v>2.4914215721575204</v>
      </c>
      <c r="G45" s="138">
        <f t="shared" si="6"/>
        <v>0.40096594443249622</v>
      </c>
      <c r="H45" s="115">
        <f>PRODUCT($D$12:D45)</f>
        <v>0.82182462496197961</v>
      </c>
      <c r="I45" s="115">
        <f t="shared" si="14"/>
        <v>0.32952368690576217</v>
      </c>
      <c r="J45" s="139">
        <f>$C$6*SUM(I44:$I$50)/(G44*H44)</f>
        <v>345.89195001798436</v>
      </c>
      <c r="K45" s="140">
        <f t="shared" si="13"/>
        <v>1.6104739528256751E-2</v>
      </c>
      <c r="L45" s="115">
        <f t="shared" si="15"/>
        <v>6.4574520947868214E-3</v>
      </c>
      <c r="M45" s="141">
        <f>$C$3*SUM(L44:$L$51)/(G44*H44)</f>
        <v>1598.8190114749357</v>
      </c>
      <c r="N45" s="141">
        <f t="shared" si="7"/>
        <v>1252.9270614569514</v>
      </c>
      <c r="O45" s="144">
        <v>0</v>
      </c>
      <c r="P45" s="143">
        <f t="shared" si="1"/>
        <v>161.04739528256749</v>
      </c>
      <c r="Q45" s="144">
        <f t="shared" si="2"/>
        <v>3.8444628078863032</v>
      </c>
      <c r="R45" s="144">
        <f t="shared" si="3"/>
        <v>2.5058541229139029</v>
      </c>
      <c r="S45" s="144">
        <f t="shared" si="8"/>
        <v>56.557176575755122</v>
      </c>
      <c r="T45" s="144">
        <f t="shared" si="9"/>
        <v>28.454190076967379</v>
      </c>
      <c r="U45" s="145">
        <f t="shared" si="12"/>
        <v>-82.386345560645196</v>
      </c>
      <c r="V45" s="143">
        <f t="shared" si="4"/>
        <v>-67.707127542365299</v>
      </c>
      <c r="W45" s="143">
        <f t="shared" si="5"/>
        <v>-27.148252339835977</v>
      </c>
      <c r="X45" s="3">
        <f t="shared" si="10"/>
        <v>-73.721750890449911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5">
        <f>'All bonds'!E39</f>
        <v>2.6818445742500954</v>
      </c>
      <c r="F46" s="195">
        <f t="shared" si="11"/>
        <v>2.4766819103243591</v>
      </c>
      <c r="G46" s="138">
        <f t="shared" si="6"/>
        <v>0.39115725975798338</v>
      </c>
      <c r="H46" s="115">
        <f>PRODUCT($D$12:D46)</f>
        <v>0.8049872230623708</v>
      </c>
      <c r="I46" s="115">
        <f t="shared" si="14"/>
        <v>0.31487659631326548</v>
      </c>
      <c r="J46" s="139">
        <f>$C$6*SUM(I45:$I$50)/(G45*H45)</f>
        <v>302.44680316959341</v>
      </c>
      <c r="K46" s="140">
        <f t="shared" si="13"/>
        <v>1.6837401899608806E-2</v>
      </c>
      <c r="L46" s="115">
        <f t="shared" si="15"/>
        <v>6.5860719884948448E-3</v>
      </c>
      <c r="M46" s="141">
        <f>$C$3*SUM(L45:$L$51)/(G45*H45)</f>
        <v>1485.1747218794669</v>
      </c>
      <c r="N46" s="141">
        <f t="shared" si="7"/>
        <v>1182.7279187098734</v>
      </c>
      <c r="O46" s="144">
        <v>0</v>
      </c>
      <c r="P46" s="143">
        <f t="shared" si="1"/>
        <v>168.37401899608807</v>
      </c>
      <c r="Q46" s="144">
        <f t="shared" si="2"/>
        <v>3.9213520640440289</v>
      </c>
      <c r="R46" s="144">
        <f t="shared" si="3"/>
        <v>2.3654558374197467</v>
      </c>
      <c r="S46" s="144">
        <f t="shared" si="8"/>
        <v>56.557176575755122</v>
      </c>
      <c r="T46" s="144">
        <f t="shared" si="9"/>
        <v>26.367356668090547</v>
      </c>
      <c r="U46" s="145">
        <f t="shared" si="12"/>
        <v>-91.73629365370617</v>
      </c>
      <c r="V46" s="143">
        <f t="shared" si="4"/>
        <v>-73.846544282331124</v>
      </c>
      <c r="W46" s="143">
        <f t="shared" si="5"/>
        <v>-28.885611904073219</v>
      </c>
      <c r="X46" s="3">
        <f t="shared" si="10"/>
        <v>-80.608070258518225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5">
        <f>'All bonds'!E40</f>
        <v>2.675775342023162</v>
      </c>
      <c r="F47" s="195">
        <f t="shared" si="11"/>
        <v>2.4633522140804871</v>
      </c>
      <c r="G47" s="138">
        <f t="shared" si="6"/>
        <v>0.38163938936509795</v>
      </c>
      <c r="H47" s="115">
        <f>PRODUCT($D$12:D47)</f>
        <v>0.78745298475606429</v>
      </c>
      <c r="I47" s="115">
        <f t="shared" si="14"/>
        <v>0.30052307625602814</v>
      </c>
      <c r="J47" s="139">
        <f>$C$6*SUM(I46:$I$50)/(G46*H46)</f>
        <v>257.32765558247735</v>
      </c>
      <c r="K47" s="140">
        <f t="shared" si="13"/>
        <v>1.7534238306306515E-2</v>
      </c>
      <c r="L47" s="115">
        <f t="shared" si="15"/>
        <v>6.6917560002009279E-3</v>
      </c>
      <c r="M47" s="141">
        <f>$C$3*SUM(L46:$L$51)/(G46*H46)</f>
        <v>1349.1816606225052</v>
      </c>
      <c r="N47" s="141">
        <f t="shared" si="7"/>
        <v>1091.8540050400279</v>
      </c>
      <c r="O47" s="144">
        <v>0</v>
      </c>
      <c r="P47" s="143">
        <f t="shared" si="1"/>
        <v>175.34238306306514</v>
      </c>
      <c r="Q47" s="144">
        <f t="shared" si="2"/>
        <v>3.9997791053249094</v>
      </c>
      <c r="R47" s="144">
        <f t="shared" si="3"/>
        <v>2.1837080100800557</v>
      </c>
      <c r="S47" s="144">
        <f t="shared" si="8"/>
        <v>56.557176575755122</v>
      </c>
      <c r="T47" s="144">
        <f t="shared" si="9"/>
        <v>23.817790726910061</v>
      </c>
      <c r="U47" s="178">
        <f t="shared" si="12"/>
        <v>-101.15090287580492</v>
      </c>
      <c r="V47" s="154">
        <f t="shared" si="4"/>
        <v>-79.651580380323352</v>
      </c>
      <c r="W47" s="154">
        <f t="shared" si="5"/>
        <v>-30.398180498311621</v>
      </c>
      <c r="X47" s="3">
        <f t="shared" si="10"/>
        <v>-87.162532513817098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5">
        <f>'All bonds'!E41</f>
        <v>2.6697089777438561</v>
      </c>
      <c r="F48" s="195">
        <f t="shared" si="11"/>
        <v>2.4513198636888376</v>
      </c>
      <c r="G48" s="138">
        <f t="shared" si="6"/>
        <v>0.37239791896534757</v>
      </c>
      <c r="H48" s="115">
        <f>PRODUCT($D$12:D48)</f>
        <v>0.76906958583212903</v>
      </c>
      <c r="I48" s="115">
        <f>H48*G48</f>
        <v>0.28639991330342662</v>
      </c>
      <c r="J48" s="139">
        <f>$C$6*SUM(I47:$I$50)/(G47*H47)</f>
        <v>210.3596364625345</v>
      </c>
      <c r="K48" s="140">
        <f>H47-H48</f>
        <v>1.8383398923935257E-2</v>
      </c>
      <c r="L48" s="115">
        <f>K48*G48</f>
        <v>6.8459395027832999E-3</v>
      </c>
      <c r="M48" s="141">
        <f>$C$3*SUM(L47:$L$51)/(G47*H47)</f>
        <v>1194.4673723302633</v>
      </c>
      <c r="N48" s="141">
        <f>M48-J48</f>
        <v>984.10773586772882</v>
      </c>
      <c r="O48" s="144">
        <v>0</v>
      </c>
      <c r="P48" s="154">
        <f t="shared" si="1"/>
        <v>183.83398923935258</v>
      </c>
      <c r="Q48" s="144">
        <f t="shared" si="2"/>
        <v>4.0797746874314074</v>
      </c>
      <c r="R48" s="144">
        <f t="shared" si="3"/>
        <v>1.9682154717354576</v>
      </c>
      <c r="S48" s="144">
        <f t="shared" si="8"/>
        <v>56.557176575755122</v>
      </c>
      <c r="T48" s="144">
        <f t="shared" si="9"/>
        <v>20.855411034605716</v>
      </c>
      <c r="U48" s="178">
        <f t="shared" si="12"/>
        <v>-112.4693917881586</v>
      </c>
      <c r="V48" s="154">
        <f t="shared" si="4"/>
        <v>-86.496788561310595</v>
      </c>
      <c r="W48" s="154">
        <f t="shared" si="5"/>
        <v>-32.211224057417745</v>
      </c>
      <c r="X48" s="3">
        <f t="shared" si="10"/>
        <v>-94.890453468485717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5">
        <f>'All bonds'!E42</f>
        <v>2.663676557940764</v>
      </c>
      <c r="F49" s="195">
        <f>B49*E49-B48*E48</f>
        <v>2.4404770252263575</v>
      </c>
      <c r="G49" s="138">
        <f t="shared" si="6"/>
        <v>0.3634196353967914</v>
      </c>
      <c r="H49" s="115">
        <f>PRODUCT($D$12:D49)</f>
        <v>0.74962933870011328</v>
      </c>
      <c r="I49" s="115">
        <f t="shared" ref="I49:I51" si="16">H49*G49</f>
        <v>0.27243002095313301</v>
      </c>
      <c r="J49" s="139">
        <f>$C$6*SUM(I48:$I$50)/(G48*H48)</f>
        <v>161.38687979262843</v>
      </c>
      <c r="K49" s="140">
        <f t="shared" ref="K49:K51" si="17">H48-H49</f>
        <v>1.9440247132015753E-2</v>
      </c>
      <c r="L49" s="115">
        <f>K49*G49</f>
        <v>7.0649675247406851E-3</v>
      </c>
      <c r="M49" s="141">
        <f>$C$3*SUM(L48:$L$51)/(G48*H48)</f>
        <v>1019.719055950712</v>
      </c>
      <c r="N49" s="141">
        <f t="shared" ref="N49:N52" si="18">M49-J49</f>
        <v>858.3321761580836</v>
      </c>
      <c r="O49" s="144">
        <v>0</v>
      </c>
      <c r="P49" s="154">
        <f t="shared" si="1"/>
        <v>194.40247132015753</v>
      </c>
      <c r="Q49" s="144">
        <f t="shared" si="2"/>
        <v>4.1613701811800361</v>
      </c>
      <c r="R49" s="144">
        <f t="shared" si="3"/>
        <v>1.7166643523161673</v>
      </c>
      <c r="S49" s="144">
        <f t="shared" si="8"/>
        <v>56.557176575755122</v>
      </c>
      <c r="T49" s="144">
        <f t="shared" si="9"/>
        <v>17.439864728345917</v>
      </c>
      <c r="U49" s="178">
        <f t="shared" si="12"/>
        <v>-126.2834645495527</v>
      </c>
      <c r="V49" s="154">
        <f t="shared" si="4"/>
        <v>-94.665790019040386</v>
      </c>
      <c r="W49" s="154">
        <f t="shared" si="5"/>
        <v>-34.403406893268873</v>
      </c>
      <c r="X49" s="3">
        <f t="shared" si="10"/>
        <v>-104.11245753408294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5">
        <f>'All bonds'!E43</f>
        <v>2.6577033487839246</v>
      </c>
      <c r="F50" s="195">
        <f t="shared" si="11"/>
        <v>2.4307214008240265</v>
      </c>
      <c r="G50" s="138">
        <f t="shared" si="6"/>
        <v>0.35469241346555552</v>
      </c>
      <c r="H50" s="171">
        <f>PRODUCT($D$12:D50)</f>
        <v>0.72856693040883636</v>
      </c>
      <c r="I50" s="115">
        <f t="shared" si="16"/>
        <v>0.25841716291790162</v>
      </c>
      <c r="J50" s="139">
        <f>$C$6*SUM(I49:$I$50)/(G49*H49)</f>
        <v>110.2052476004524</v>
      </c>
      <c r="K50" s="140">
        <f t="shared" si="17"/>
        <v>2.1062408291276924E-2</v>
      </c>
      <c r="L50" s="115">
        <f>K50*G50</f>
        <v>7.4706764302299392E-3</v>
      </c>
      <c r="M50" s="141">
        <f>$C$3*SUM(L49:$L$51)/(G49*H49)</f>
        <v>820.71738425908472</v>
      </c>
      <c r="N50" s="141">
        <f t="shared" si="18"/>
        <v>710.51213665863236</v>
      </c>
      <c r="O50" s="144">
        <v>0</v>
      </c>
      <c r="P50" s="154">
        <f t="shared" si="1"/>
        <v>210.62408291276924</v>
      </c>
      <c r="Q50" s="144">
        <f t="shared" si="2"/>
        <v>4.2445975848036372</v>
      </c>
      <c r="R50" s="144">
        <f t="shared" si="3"/>
        <v>1.4210242733172647</v>
      </c>
      <c r="S50" s="144">
        <f t="shared" si="8"/>
        <v>56.557176575755122</v>
      </c>
      <c r="T50" s="144">
        <f t="shared" si="9"/>
        <v>13.387917814297012</v>
      </c>
      <c r="U50" s="178">
        <f t="shared" si="12"/>
        <v>-146.34461038083799</v>
      </c>
      <c r="V50" s="154">
        <f t="shared" si="4"/>
        <v>-106.62184356704427</v>
      </c>
      <c r="W50" s="154">
        <f t="shared" si="5"/>
        <v>-37.817959022941849</v>
      </c>
      <c r="X50" s="3">
        <f t="shared" si="10"/>
        <v>-117.5554903916582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5">
        <f>'All bonds'!E44</f>
        <v>2.651809682326193</v>
      </c>
      <c r="F51" s="195">
        <f t="shared" si="11"/>
        <v>2.4219566904746586</v>
      </c>
      <c r="G51" s="138">
        <f t="shared" si="6"/>
        <v>0.34620511109549484</v>
      </c>
      <c r="H51" s="171">
        <f>PRODUCT($D$12:D51)</f>
        <v>0.70597003275095693</v>
      </c>
      <c r="I51" s="115">
        <f t="shared" si="16"/>
        <v>0.24441043361863518</v>
      </c>
      <c r="J51" s="139">
        <f>$C$6*SUM(I50:$I$50)/(G50*H50)</f>
        <v>56.557176575755122</v>
      </c>
      <c r="K51" s="140">
        <f t="shared" si="17"/>
        <v>2.2596897657879422E-2</v>
      </c>
      <c r="L51" s="115">
        <f t="shared" ref="L51" si="19">K51*G51</f>
        <v>7.823161464059673E-3</v>
      </c>
      <c r="M51" s="141">
        <f>$C$3*SUM(L50:$L$51)/(G50*H50)</f>
        <v>591.82748241642219</v>
      </c>
      <c r="N51" s="141">
        <f t="shared" si="18"/>
        <v>535.27030584066711</v>
      </c>
      <c r="O51" s="144">
        <v>0</v>
      </c>
      <c r="P51" s="154">
        <f t="shared" si="1"/>
        <v>225.96897657879421</v>
      </c>
      <c r="Q51" s="144">
        <f t="shared" si="2"/>
        <v>4.3294895364997084</v>
      </c>
      <c r="R51" s="144">
        <f>$C$7*N51</f>
        <v>1.0705406116813343</v>
      </c>
      <c r="S51" s="144">
        <f t="shared" si="8"/>
        <v>56.557176575755122</v>
      </c>
      <c r="T51" s="144">
        <f t="shared" si="9"/>
        <v>8.7301481683435291</v>
      </c>
      <c r="U51" s="178">
        <f t="shared" si="12"/>
        <v>-166.0816819828766</v>
      </c>
      <c r="V51" s="154">
        <f t="shared" si="4"/>
        <v>-117.24869046878541</v>
      </c>
      <c r="W51" s="154">
        <f t="shared" si="5"/>
        <v>-40.59209590954714</v>
      </c>
      <c r="X51" s="3">
        <f t="shared" si="10"/>
        <v>-129.59606843120358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v>0</v>
      </c>
      <c r="N52" s="141">
        <f t="shared" si="18"/>
        <v>0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10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191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191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D12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59</v>
      </c>
      <c r="D1" s="162"/>
    </row>
    <row r="2" spans="1:37" ht="36.75" customHeight="1" thickBot="1" x14ac:dyDescent="0.3">
      <c r="A2" s="163" t="s">
        <v>62</v>
      </c>
      <c r="B2" s="86"/>
      <c r="C2" s="88">
        <f>'AAA rated'!H5</f>
        <v>1752.7052907735356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203" t="s">
        <v>37</v>
      </c>
      <c r="X3" s="204">
        <f>W11/C2</f>
        <v>0.15463457292736998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60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0.36421839713198922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'AAA rated'!J5</f>
        <v>63.608529184818529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192"/>
      <c r="S6" s="247" t="s">
        <v>41</v>
      </c>
      <c r="T6" s="247"/>
      <c r="U6" s="91"/>
      <c r="V6" s="91"/>
      <c r="W6" s="109" t="s">
        <v>83</v>
      </c>
      <c r="X6" s="98">
        <f>-0.0026</f>
        <v>-2.5999999999999999E-3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205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206">
        <f>SUM(W12:W51)</f>
        <v>271.0288341063075</v>
      </c>
      <c r="X11" s="132">
        <f>SUM(X12:X51)</f>
        <v>-0.25635337298477623</v>
      </c>
      <c r="Y11" s="193">
        <f>NPV(X5,V12:V51)</f>
        <v>1.2985425322733889E-9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5">
        <f>'AAA rated'!E5</f>
        <v>0.66117366475260209</v>
      </c>
      <c r="F12" s="195">
        <f>E12</f>
        <v>0.66117366475260209</v>
      </c>
      <c r="G12" s="138">
        <f>EXP(-(E12/100)*B12)</f>
        <v>0.99341007279066318</v>
      </c>
      <c r="H12" s="115">
        <f>PRODUCT($D$12:D12)</f>
        <v>0.99917201979718562</v>
      </c>
      <c r="I12" s="115">
        <f>H12*G12</f>
        <v>0.99258754891711609</v>
      </c>
      <c r="J12" s="139">
        <v>0</v>
      </c>
      <c r="K12" s="115">
        <f>C12</f>
        <v>8.279802028143497E-4</v>
      </c>
      <c r="L12" s="115">
        <f>K12*G12</f>
        <v>8.2252387354703118E-4</v>
      </c>
      <c r="M12" s="141">
        <v>0</v>
      </c>
      <c r="N12" s="141">
        <f>M12-J12</f>
        <v>0</v>
      </c>
      <c r="O12" s="142">
        <f>C4</f>
        <v>200</v>
      </c>
      <c r="P12" s="143">
        <f t="shared" ref="P12:P51" si="1">K12*$C$3</f>
        <v>8.2798020281434965</v>
      </c>
      <c r="Q12" s="144">
        <f t="shared" ref="Q12:Q51" si="2">$C$8*(1+$C$5)^(B12-1)</f>
        <v>2</v>
      </c>
      <c r="R12" s="144">
        <f t="shared" ref="R12:R50" si="3">$C$7*N12</f>
        <v>0</v>
      </c>
      <c r="S12" s="144">
        <f>$C$6</f>
        <v>63.608529184818529</v>
      </c>
      <c r="T12" s="144">
        <f>F12/100*(N12+S12-O12-Q12-P12-R12)</f>
        <v>-0.96975182979749974</v>
      </c>
      <c r="U12" s="145">
        <f>S12+T12-O12-Q12-R12-P12</f>
        <v>-147.64102467312247</v>
      </c>
      <c r="V12" s="143">
        <f>U12*H12</f>
        <v>-147.51878082756988</v>
      </c>
      <c r="W12" s="143">
        <f t="shared" ref="W12:W51" si="4">V12*G12</f>
        <v>-146.5466427999061</v>
      </c>
      <c r="X12" s="146">
        <f>V12*(1+$X$6)^(-B12)</f>
        <v>-147.90332948422889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5">
        <f>'AAA rated'!E6</f>
        <v>1.0755904258034521</v>
      </c>
      <c r="F13" s="195">
        <f>B13*E13-B12*E12</f>
        <v>1.4900071868543021</v>
      </c>
      <c r="G13" s="138">
        <f t="shared" ref="G13:G51" si="5">EXP(-(E13/100)*B13)</f>
        <v>0.97871792019462289</v>
      </c>
      <c r="H13" s="115">
        <f>PRODUCT($D$12:D13)</f>
        <v>0.99823320922948466</v>
      </c>
      <c r="I13" s="115">
        <f>H13*G13</f>
        <v>0.97698873040628509</v>
      </c>
      <c r="J13" s="139">
        <f>$C$6*SUM(I12:$I$50)/(G12*H12)</f>
        <v>1701.7106082294426</v>
      </c>
      <c r="K13" s="140">
        <f>H12-H13</f>
        <v>9.3881056770095395E-4</v>
      </c>
      <c r="L13" s="115">
        <f>K13*G13</f>
        <v>9.188307262770109E-4</v>
      </c>
      <c r="M13" s="141">
        <f>$C$3*SUM(L12:$L$51)/(G12*H12)</f>
        <v>1765.7941535592358</v>
      </c>
      <c r="N13" s="141">
        <f t="shared" ref="N13:N47" si="6">M13-J13</f>
        <v>64.083545329793196</v>
      </c>
      <c r="O13" s="144">
        <v>0</v>
      </c>
      <c r="P13" s="143">
        <f t="shared" si="1"/>
        <v>9.3881056770095395</v>
      </c>
      <c r="Q13" s="144">
        <f t="shared" si="2"/>
        <v>2.04</v>
      </c>
      <c r="R13" s="144">
        <f t="shared" si="3"/>
        <v>0.1281670906595864</v>
      </c>
      <c r="S13" s="144">
        <f t="shared" ref="S13:S51" si="7">$C$6</f>
        <v>63.608529184818529</v>
      </c>
      <c r="T13" s="144">
        <f t="shared" ref="T13:T51" si="8">F13/100*(N13+S13-O13-Q13-P13-R13)</f>
        <v>1.730431792540309</v>
      </c>
      <c r="U13" s="145">
        <f>S13+T13-O13-Q13-R13-P13</f>
        <v>53.782688209689709</v>
      </c>
      <c r="V13" s="143">
        <f t="shared" ref="V13:V51" si="9">U13*H13</f>
        <v>53.687665452547328</v>
      </c>
      <c r="W13" s="143">
        <f t="shared" si="4"/>
        <v>52.545080271821831</v>
      </c>
      <c r="X13" s="146">
        <f t="shared" ref="X13:X52" si="10">V13*(1+$X$6)^(-B13)</f>
        <v>53.967933885518967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5">
        <f>'AAA rated'!E7</f>
        <v>1.2238097787174036</v>
      </c>
      <c r="F14" s="195">
        <f t="shared" ref="F14:F51" si="11">B14*E14-B13*E13</f>
        <v>1.5202484845453066</v>
      </c>
      <c r="G14" s="138">
        <f t="shared" si="5"/>
        <v>0.96395150335362567</v>
      </c>
      <c r="H14" s="115">
        <f>PRODUCT($D$12:D14)</f>
        <v>0.99720309581120525</v>
      </c>
      <c r="I14" s="115">
        <f>H14*G14</f>
        <v>0.96125542335610092</v>
      </c>
      <c r="J14" s="139">
        <f>$C$6*SUM(I13:$I$50)/(G13*H13)</f>
        <v>1664.2563797422442</v>
      </c>
      <c r="K14" s="140">
        <f>H13-H14</f>
        <v>1.0301134182794103E-3</v>
      </c>
      <c r="L14" s="115">
        <f>K14*G14</f>
        <v>9.9297937817517971E-4</v>
      </c>
      <c r="M14" s="141">
        <f>$C$3*SUM(L13:$L$51)/(G13*H13)</f>
        <v>1785.5682442852901</v>
      </c>
      <c r="N14" s="141">
        <f t="shared" si="6"/>
        <v>121.31186454304589</v>
      </c>
      <c r="O14" s="144">
        <v>0</v>
      </c>
      <c r="P14" s="143">
        <f t="shared" si="1"/>
        <v>10.301134182794103</v>
      </c>
      <c r="Q14" s="144">
        <f t="shared" si="2"/>
        <v>2.0808</v>
      </c>
      <c r="R14" s="144">
        <f t="shared" si="3"/>
        <v>0.24262372908609178</v>
      </c>
      <c r="S14" s="144">
        <f t="shared" si="7"/>
        <v>63.608529184818529</v>
      </c>
      <c r="T14" s="144">
        <f t="shared" si="8"/>
        <v>2.6193248329271697</v>
      </c>
      <c r="U14" s="145">
        <f t="shared" ref="U14:U51" si="12">S14+T14-O14-Q14-R14-P14</f>
        <v>53.60329610586551</v>
      </c>
      <c r="V14" s="143">
        <f t="shared" si="9"/>
        <v>53.453372822453808</v>
      </c>
      <c r="W14" s="143">
        <f t="shared" si="4"/>
        <v>51.526459091526185</v>
      </c>
      <c r="X14" s="146">
        <f t="shared" si="10"/>
        <v>53.872486631009643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5">
        <f>'AAA rated'!E8</f>
        <v>1.3032306860947243</v>
      </c>
      <c r="F15" s="195">
        <f t="shared" si="11"/>
        <v>1.5414934082266862</v>
      </c>
      <c r="G15" s="138">
        <f t="shared" si="5"/>
        <v>0.94920619542653994</v>
      </c>
      <c r="H15" s="115">
        <f>PRODUCT($D$12:D15)</f>
        <v>0.99615955299866155</v>
      </c>
      <c r="I15" s="115">
        <f>H15*G15</f>
        <v>0.94556081933966218</v>
      </c>
      <c r="J15" s="139">
        <f>$C$6*SUM(I14:$I$50)/(G14*H14)</f>
        <v>1626.84638582718</v>
      </c>
      <c r="K15" s="140">
        <f t="shared" ref="K15:K47" si="13">H14-H15</f>
        <v>1.0435428125437074E-3</v>
      </c>
      <c r="L15" s="115">
        <f>K15*G15</f>
        <v>9.9053730285932344E-4</v>
      </c>
      <c r="M15" s="141">
        <f>$C$3*SUM(L14:$L$51)/(G14*H14)</f>
        <v>1805.2348029587652</v>
      </c>
      <c r="N15" s="141">
        <f t="shared" si="6"/>
        <v>178.38841713158513</v>
      </c>
      <c r="O15" s="144">
        <v>0</v>
      </c>
      <c r="P15" s="143">
        <f t="shared" si="1"/>
        <v>10.435428125437074</v>
      </c>
      <c r="Q15" s="144">
        <f t="shared" si="2"/>
        <v>2.1224159999999999</v>
      </c>
      <c r="R15" s="144">
        <f t="shared" si="3"/>
        <v>0.35677683426317025</v>
      </c>
      <c r="S15" s="144">
        <f t="shared" si="7"/>
        <v>63.608529184818529</v>
      </c>
      <c r="T15" s="144">
        <f t="shared" si="8"/>
        <v>3.5312889447859939</v>
      </c>
      <c r="U15" s="145">
        <f t="shared" si="12"/>
        <v>54.225197169904277</v>
      </c>
      <c r="V15" s="143">
        <f t="shared" si="9"/>
        <v>54.016948174036131</v>
      </c>
      <c r="W15" s="143">
        <f t="shared" si="4"/>
        <v>51.273221864829416</v>
      </c>
      <c r="X15" s="146">
        <f t="shared" si="10"/>
        <v>54.582395055536686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5">
        <f>'AAA rated'!E9</f>
        <v>1.3648269565488462</v>
      </c>
      <c r="F16" s="195">
        <f t="shared" si="11"/>
        <v>1.6112120383653341</v>
      </c>
      <c r="G16" s="138">
        <f t="shared" si="5"/>
        <v>0.93403501904922503</v>
      </c>
      <c r="H16" s="115">
        <f>PRODUCT($D$12:D16)</f>
        <v>0.99513503894949118</v>
      </c>
      <c r="I16" s="115">
        <f t="shared" ref="I16:I47" si="14">H16*G16</f>
        <v>0.92949097506173928</v>
      </c>
      <c r="J16" s="139">
        <f>$C$6*SUM(I15:$I$50)/(G15*H15)</f>
        <v>1589.1847853239476</v>
      </c>
      <c r="K16" s="140">
        <f t="shared" si="13"/>
        <v>1.0245140491703664E-3</v>
      </c>
      <c r="L16" s="115">
        <f t="shared" ref="L16:L47" si="15">K16*G16</f>
        <v>9.5693199943304181E-4</v>
      </c>
      <c r="M16" s="141">
        <f>$C$3*SUM(L15:$L$51)/(G15*H15)</f>
        <v>1824.6969583600765</v>
      </c>
      <c r="N16" s="141">
        <f t="shared" si="6"/>
        <v>235.51217303612884</v>
      </c>
      <c r="O16" s="144">
        <v>0</v>
      </c>
      <c r="P16" s="143">
        <f t="shared" si="1"/>
        <v>10.245140491703664</v>
      </c>
      <c r="Q16" s="144">
        <f t="shared" si="2"/>
        <v>2.16486432</v>
      </c>
      <c r="R16" s="144">
        <f t="shared" si="3"/>
        <v>0.47102434607225768</v>
      </c>
      <c r="S16" s="144">
        <f t="shared" si="7"/>
        <v>63.608529184818529</v>
      </c>
      <c r="T16" s="144">
        <f t="shared" si="8"/>
        <v>4.611928070971393</v>
      </c>
      <c r="U16" s="145">
        <f t="shared" si="12"/>
        <v>55.339428098013997</v>
      </c>
      <c r="V16" s="143">
        <f t="shared" si="9"/>
        <v>55.070203935759729</v>
      </c>
      <c r="W16" s="143">
        <f t="shared" si="4"/>
        <v>51.437498982182042</v>
      </c>
      <c r="X16" s="146">
        <f t="shared" si="10"/>
        <v>55.791734759578709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5">
        <f>'AAA rated'!E10</f>
        <v>1.4188689521821152</v>
      </c>
      <c r="F17" s="195">
        <f t="shared" si="11"/>
        <v>1.6890789303484599</v>
      </c>
      <c r="G17" s="138">
        <f t="shared" si="5"/>
        <v>0.91839092284183621</v>
      </c>
      <c r="H17" s="115">
        <f>PRODUCT($D$12:D17)</f>
        <v>0.99406934438051142</v>
      </c>
      <c r="I17" s="115">
        <f>H17*G17</f>
        <v>0.91294426255439698</v>
      </c>
      <c r="J17" s="139">
        <f>$C$6*SUM(I16:$I$50)/(G16*H16)</f>
        <v>1551.9517385569375</v>
      </c>
      <c r="K17" s="140">
        <f t="shared" si="13"/>
        <v>1.0656945689797581E-3</v>
      </c>
      <c r="L17" s="115">
        <f t="shared" si="15"/>
        <v>9.7872421867285287E-4</v>
      </c>
      <c r="M17" s="141">
        <f>$C$3*SUM(L16:$L$51)/(G16*H16)</f>
        <v>1845.5871267077175</v>
      </c>
      <c r="N17" s="141">
        <f t="shared" si="6"/>
        <v>293.63538815078005</v>
      </c>
      <c r="O17" s="144">
        <v>0</v>
      </c>
      <c r="P17" s="143">
        <f t="shared" si="1"/>
        <v>10.656945689797581</v>
      </c>
      <c r="Q17" s="144">
        <f t="shared" si="2"/>
        <v>2.2081616064</v>
      </c>
      <c r="R17" s="144">
        <f t="shared" si="3"/>
        <v>0.5872707763015601</v>
      </c>
      <c r="S17" s="144">
        <f t="shared" si="7"/>
        <v>63.608529184818529</v>
      </c>
      <c r="T17" s="144">
        <f t="shared" si="8"/>
        <v>5.8069104540136651</v>
      </c>
      <c r="U17" s="145">
        <f t="shared" si="12"/>
        <v>55.963061566333053</v>
      </c>
      <c r="V17" s="143">
        <f t="shared" si="9"/>
        <v>55.631163920770895</v>
      </c>
      <c r="W17" s="143">
        <f t="shared" si="4"/>
        <v>51.091155971962245</v>
      </c>
      <c r="X17" s="146">
        <f t="shared" si="10"/>
        <v>56.506962555264181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5">
        <f>'AAA rated'!E11</f>
        <v>1.4663850609980162</v>
      </c>
      <c r="F18" s="195">
        <f t="shared" si="11"/>
        <v>1.7514817138934227</v>
      </c>
      <c r="G18" s="138">
        <f t="shared" si="5"/>
        <v>0.9024455217852978</v>
      </c>
      <c r="H18" s="115">
        <f>PRODUCT($D$12:D18)</f>
        <v>0.99284921734070164</v>
      </c>
      <c r="I18" s="115">
        <f t="shared" si="14"/>
        <v>0.89599232999715406</v>
      </c>
      <c r="J18" s="139">
        <f>$C$6*SUM(I17:$I$50)/(G17*H17)</f>
        <v>1515.3187742645791</v>
      </c>
      <c r="K18" s="140">
        <f t="shared" si="13"/>
        <v>1.2201270398097819E-3</v>
      </c>
      <c r="L18" s="115">
        <f t="shared" si="15"/>
        <v>1.1010981830854895E-3</v>
      </c>
      <c r="M18" s="141">
        <f>$C$3*SUM(L17:$L$51)/(G17*H17)</f>
        <v>1868.5557573882841</v>
      </c>
      <c r="N18" s="141">
        <f t="shared" si="6"/>
        <v>353.23698312370493</v>
      </c>
      <c r="O18" s="144">
        <v>0</v>
      </c>
      <c r="P18" s="143">
        <f t="shared" si="1"/>
        <v>12.201270398097819</v>
      </c>
      <c r="Q18" s="144">
        <f t="shared" si="2"/>
        <v>2.2523248385280001</v>
      </c>
      <c r="R18" s="144">
        <f t="shared" si="3"/>
        <v>0.70647396624740988</v>
      </c>
      <c r="S18" s="144">
        <f t="shared" si="7"/>
        <v>63.608529184818529</v>
      </c>
      <c r="T18" s="144">
        <f t="shared" si="8"/>
        <v>7.0354470833672318</v>
      </c>
      <c r="U18" s="145">
        <f t="shared" si="12"/>
        <v>55.483907065312536</v>
      </c>
      <c r="V18" s="143">
        <f t="shared" si="9"/>
        <v>55.087153704799775</v>
      </c>
      <c r="W18" s="143">
        <f t="shared" si="4"/>
        <v>49.713155168794934</v>
      </c>
      <c r="X18" s="146">
        <f t="shared" si="10"/>
        <v>56.100248660156026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5">
        <f>'AAA rated'!E12</f>
        <v>1.507326045432928</v>
      </c>
      <c r="F19" s="195">
        <f t="shared" si="11"/>
        <v>1.7939129364773105</v>
      </c>
      <c r="G19" s="138">
        <f t="shared" si="5"/>
        <v>0.88640077946015683</v>
      </c>
      <c r="H19" s="115">
        <f>PRODUCT($D$12:D19)</f>
        <v>0.99144316150046929</v>
      </c>
      <c r="I19" s="115">
        <f t="shared" si="14"/>
        <v>0.87881599114445819</v>
      </c>
      <c r="J19" s="139">
        <f>$C$6*SUM(I18:$I$50)/(G18*H18)</f>
        <v>1479.1762102932453</v>
      </c>
      <c r="K19" s="140">
        <f t="shared" si="13"/>
        <v>1.4060558402323453E-3</v>
      </c>
      <c r="L19" s="115">
        <f>K19*G19</f>
        <v>1.2463289927464565E-3</v>
      </c>
      <c r="M19" s="141">
        <f>$C$3*SUM(L18:$L$51)/(G18*H18)</f>
        <v>1892.9849720803732</v>
      </c>
      <c r="N19" s="141">
        <f t="shared" si="6"/>
        <v>413.80876178712788</v>
      </c>
      <c r="O19" s="144">
        <v>0</v>
      </c>
      <c r="P19" s="143">
        <f t="shared" si="1"/>
        <v>14.060558402323453</v>
      </c>
      <c r="Q19" s="144">
        <f t="shared" si="2"/>
        <v>2.2973713352985596</v>
      </c>
      <c r="R19" s="144">
        <f t="shared" si="3"/>
        <v>0.82761752357425578</v>
      </c>
      <c r="S19" s="144">
        <f t="shared" si="7"/>
        <v>63.608529184818529</v>
      </c>
      <c r="T19" s="144">
        <f t="shared" si="8"/>
        <v>8.2561567882022473</v>
      </c>
      <c r="U19" s="145">
        <f t="shared" si="12"/>
        <v>54.679138711824507</v>
      </c>
      <c r="V19" s="143">
        <f t="shared" si="9"/>
        <v>54.21125815257399</v>
      </c>
      <c r="W19" s="143">
        <f t="shared" si="4"/>
        <v>48.052901481957363</v>
      </c>
      <c r="X19" s="146">
        <f t="shared" si="10"/>
        <v>55.352160334627598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5">
        <f>'AAA rated'!E13</f>
        <v>1.5420743012469824</v>
      </c>
      <c r="F20" s="195">
        <f t="shared" si="11"/>
        <v>1.8200603477594175</v>
      </c>
      <c r="G20" s="138">
        <f t="shared" si="5"/>
        <v>0.87041367911215639</v>
      </c>
      <c r="H20" s="115">
        <f>PRODUCT($D$12:D20)</f>
        <v>0.98989429002974061</v>
      </c>
      <c r="I20" s="115">
        <f t="shared" si="14"/>
        <v>0.86161753091690252</v>
      </c>
      <c r="J20" s="139">
        <f>$C$6*SUM(I19:$I$50)/(G19*H19)</f>
        <v>1443.2347586362032</v>
      </c>
      <c r="K20" s="140">
        <f t="shared" si="13"/>
        <v>1.5488714707286855E-3</v>
      </c>
      <c r="L20" s="115">
        <f>K20*G20</f>
        <v>1.3481589153088117E-3</v>
      </c>
      <c r="M20" s="141">
        <f>$C$3*SUM(L19:$L$51)/(G19*H19)</f>
        <v>1917.4537684033157</v>
      </c>
      <c r="N20" s="141">
        <f t="shared" si="6"/>
        <v>474.21900976711254</v>
      </c>
      <c r="O20" s="144">
        <v>0</v>
      </c>
      <c r="P20" s="143">
        <f t="shared" si="1"/>
        <v>15.488714707286855</v>
      </c>
      <c r="Q20" s="144">
        <f t="shared" si="2"/>
        <v>2.343318762004531</v>
      </c>
      <c r="R20" s="144">
        <f t="shared" si="3"/>
        <v>0.94843801953422513</v>
      </c>
      <c r="S20" s="144">
        <f t="shared" si="7"/>
        <v>63.608529184818529</v>
      </c>
      <c r="T20" s="144">
        <f t="shared" si="8"/>
        <v>9.4469698611040549</v>
      </c>
      <c r="U20" s="145">
        <f t="shared" si="12"/>
        <v>54.275027557096983</v>
      </c>
      <c r="V20" s="143">
        <f t="shared" si="9"/>
        <v>53.726539869977124</v>
      </c>
      <c r="W20" s="143">
        <f t="shared" si="4"/>
        <v>46.764315234192743</v>
      </c>
      <c r="X20" s="146">
        <f t="shared" si="10"/>
        <v>55.000241549054472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5">
        <f>'AAA rated'!E14</f>
        <v>1.5713819111685488</v>
      </c>
      <c r="F21" s="195">
        <f>B21*E21-B20*E20</f>
        <v>1.8351504004626467</v>
      </c>
      <c r="G21" s="138">
        <f t="shared" si="5"/>
        <v>0.8545859544698905</v>
      </c>
      <c r="H21" s="115">
        <f>PRODUCT($D$12:D21)</f>
        <v>0.98820462254350394</v>
      </c>
      <c r="I21" s="115">
        <f>H21*G21</f>
        <v>0.84450579056789821</v>
      </c>
      <c r="J21" s="139">
        <f>$C$6*SUM(I20:$I$50)/(G20*H20)</f>
        <v>1407.1644885799592</v>
      </c>
      <c r="K21" s="140">
        <f t="shared" si="13"/>
        <v>1.6896674862366678E-3</v>
      </c>
      <c r="L21" s="115">
        <f>K21*G21</f>
        <v>1.4439661014623033E-3</v>
      </c>
      <c r="M21" s="141">
        <f>$C$3*SUM(L20:$L$51)/(G20*H20)</f>
        <v>1941.2624325849351</v>
      </c>
      <c r="N21" s="141">
        <f t="shared" si="6"/>
        <v>534.09794400497594</v>
      </c>
      <c r="O21" s="144">
        <v>0</v>
      </c>
      <c r="P21" s="143">
        <f t="shared" si="1"/>
        <v>16.89667486236668</v>
      </c>
      <c r="Q21" s="144">
        <f t="shared" si="2"/>
        <v>2.3901851372446217</v>
      </c>
      <c r="R21" s="144">
        <f t="shared" si="3"/>
        <v>1.0681958880099518</v>
      </c>
      <c r="S21" s="144">
        <f t="shared" si="7"/>
        <v>63.608529184818529</v>
      </c>
      <c r="T21" s="144">
        <f t="shared" si="8"/>
        <v>10.595266846697596</v>
      </c>
      <c r="U21" s="145">
        <f>S21+T21-O21-Q21-R21-P21</f>
        <v>53.848740143894872</v>
      </c>
      <c r="V21" s="143">
        <f t="shared" si="9"/>
        <v>53.213573928340857</v>
      </c>
      <c r="W21" s="143">
        <f t="shared" si="4"/>
        <v>45.475572866305249</v>
      </c>
      <c r="X21" s="146">
        <f t="shared" si="10"/>
        <v>54.617119170684134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5">
        <f>'AAA rated'!E15</f>
        <v>1.5961163395225824</v>
      </c>
      <c r="F22" s="195">
        <f t="shared" si="11"/>
        <v>1.8434606230629171</v>
      </c>
      <c r="G22" s="138">
        <f t="shared" si="5"/>
        <v>0.83897631969967568</v>
      </c>
      <c r="H22" s="115">
        <f>PRODUCT($D$12:D22)</f>
        <v>0.98643332382785143</v>
      </c>
      <c r="I22" s="115">
        <f t="shared" si="14"/>
        <v>0.82759419965420922</v>
      </c>
      <c r="J22" s="139">
        <f>$C$6*SUM(I21:$I$50)/(G21*H21)</f>
        <v>1370.7796693783091</v>
      </c>
      <c r="K22" s="140">
        <f t="shared" si="13"/>
        <v>1.771298715652514E-3</v>
      </c>
      <c r="L22" s="115">
        <f t="shared" si="15"/>
        <v>1.4860776775469085E-3</v>
      </c>
      <c r="M22" s="141">
        <f>$C$3*SUM(L21:$L$51)/(G21*H21)</f>
        <v>1964.6332487036846</v>
      </c>
      <c r="N22" s="141">
        <f t="shared" si="6"/>
        <v>593.85357932537545</v>
      </c>
      <c r="O22" s="144">
        <v>0</v>
      </c>
      <c r="P22" s="143">
        <f t="shared" si="1"/>
        <v>17.712987156525138</v>
      </c>
      <c r="Q22" s="144">
        <f t="shared" si="2"/>
        <v>2.4379888399895142</v>
      </c>
      <c r="R22" s="144">
        <f t="shared" si="3"/>
        <v>1.1877071586507508</v>
      </c>
      <c r="S22" s="144">
        <f t="shared" si="7"/>
        <v>63.608529184818529</v>
      </c>
      <c r="T22" s="144">
        <f t="shared" si="8"/>
        <v>11.726684860498979</v>
      </c>
      <c r="U22" s="145">
        <f t="shared" si="12"/>
        <v>53.996530890152108</v>
      </c>
      <c r="V22" s="143">
        <f t="shared" si="9"/>
        <v>53.263977441145997</v>
      </c>
      <c r="W22" s="143">
        <f t="shared" si="4"/>
        <v>44.687215766139218</v>
      </c>
      <c r="X22" s="146">
        <f t="shared" si="10"/>
        <v>54.811361651697894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5">
        <f>'AAA rated'!E16</f>
        <v>1.6170965793544503</v>
      </c>
      <c r="F23" s="195">
        <f t="shared" si="11"/>
        <v>1.8478792175049961</v>
      </c>
      <c r="G23" s="138">
        <f t="shared" si="5"/>
        <v>0.82361541324661947</v>
      </c>
      <c r="H23" s="115">
        <f>PRODUCT($D$12:D23)</f>
        <v>0.98449893900552066</v>
      </c>
      <c r="I23" s="115">
        <f t="shared" si="14"/>
        <v>0.81084850048989032</v>
      </c>
      <c r="J23" s="139">
        <f>$C$6*SUM(I22:$I$50)/(G22*H22)</f>
        <v>1333.8827140377362</v>
      </c>
      <c r="K23" s="140">
        <f t="shared" si="13"/>
        <v>1.9343848223307702E-3</v>
      </c>
      <c r="L23" s="115">
        <f t="shared" si="15"/>
        <v>1.5931891548219459E-3</v>
      </c>
      <c r="M23" s="141">
        <f>$C$3*SUM(L22:$L$51)/(G22*H22)</f>
        <v>1987.3320699263738</v>
      </c>
      <c r="N23" s="141">
        <f t="shared" si="6"/>
        <v>653.44935588863768</v>
      </c>
      <c r="O23" s="144">
        <v>0</v>
      </c>
      <c r="P23" s="143">
        <f t="shared" si="1"/>
        <v>19.343848223307702</v>
      </c>
      <c r="Q23" s="144">
        <f t="shared" si="2"/>
        <v>2.486748616789304</v>
      </c>
      <c r="R23" s="144">
        <f t="shared" si="3"/>
        <v>1.3068987117772755</v>
      </c>
      <c r="S23" s="144">
        <f t="shared" si="7"/>
        <v>63.608529184818529</v>
      </c>
      <c r="T23" s="144">
        <f t="shared" si="8"/>
        <v>12.822810663999027</v>
      </c>
      <c r="U23" s="145">
        <f t="shared" si="12"/>
        <v>53.293844296943277</v>
      </c>
      <c r="V23" s="143">
        <f t="shared" si="9"/>
        <v>52.467733165866072</v>
      </c>
      <c r="W23" s="143">
        <f t="shared" si="4"/>
        <v>43.213233733518145</v>
      </c>
      <c r="X23" s="146">
        <f t="shared" si="10"/>
        <v>54.132730598135581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5">
        <f>'AAA rated'!E17</f>
        <v>1.6350249460437558</v>
      </c>
      <c r="F24" s="195">
        <f t="shared" si="11"/>
        <v>1.8501653463154248</v>
      </c>
      <c r="G24" s="138">
        <f t="shared" si="5"/>
        <v>0.8085172673021418</v>
      </c>
      <c r="H24" s="115">
        <f>PRODUCT($D$12:D24)</f>
        <v>0.98234137479650641</v>
      </c>
      <c r="I24" s="115">
        <f t="shared" si="14"/>
        <v>0.79423996390830043</v>
      </c>
      <c r="J24" s="139">
        <f>$C$6*SUM(I23:$I$50)/(G23*H23)</f>
        <v>1296.5079749418128</v>
      </c>
      <c r="K24" s="140">
        <f t="shared" si="13"/>
        <v>2.1575642090142511E-3</v>
      </c>
      <c r="L24" s="115">
        <f t="shared" si="15"/>
        <v>1.7444279183011094E-3</v>
      </c>
      <c r="M24" s="141">
        <f>$C$3*SUM(L23:$L$51)/(G23*H23)</f>
        <v>2010.0471494954836</v>
      </c>
      <c r="N24" s="141">
        <f t="shared" si="6"/>
        <v>713.53917455367082</v>
      </c>
      <c r="O24" s="144">
        <v>0</v>
      </c>
      <c r="P24" s="143">
        <f t="shared" si="1"/>
        <v>21.575642090142509</v>
      </c>
      <c r="Q24" s="144">
        <f t="shared" si="2"/>
        <v>2.5364835891250905</v>
      </c>
      <c r="R24" s="144">
        <f t="shared" si="3"/>
        <v>1.4270783491073418</v>
      </c>
      <c r="S24" s="144">
        <f t="shared" si="7"/>
        <v>63.608529184818529</v>
      </c>
      <c r="T24" s="144">
        <f t="shared" si="8"/>
        <v>13.906000001597807</v>
      </c>
      <c r="U24" s="145">
        <f t="shared" si="12"/>
        <v>51.975325158041386</v>
      </c>
      <c r="V24" s="143">
        <f t="shared" si="9"/>
        <v>51.057512371245821</v>
      </c>
      <c r="W24" s="143">
        <f t="shared" si="4"/>
        <v>41.280880377644969</v>
      </c>
      <c r="X24" s="146">
        <f t="shared" si="10"/>
        <v>52.815077423983176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5">
        <f>'AAA rated'!E18</f>
        <v>1.6504747808374685</v>
      </c>
      <c r="F25" s="195">
        <f t="shared" si="11"/>
        <v>1.851322633155732</v>
      </c>
      <c r="G25" s="138">
        <f t="shared" si="5"/>
        <v>0.79368670846826372</v>
      </c>
      <c r="H25" s="115">
        <f>PRODUCT($D$12:D25)</f>
        <v>0.97987941659878797</v>
      </c>
      <c r="I25" s="115">
        <f t="shared" si="14"/>
        <v>0.7777172688560946</v>
      </c>
      <c r="J25" s="139">
        <f>$C$6*SUM(I24:$I$50)/(G24*H24)</f>
        <v>1258.6808927714651</v>
      </c>
      <c r="K25" s="140">
        <f t="shared" si="13"/>
        <v>2.461958197718439E-3</v>
      </c>
      <c r="L25" s="115">
        <f t="shared" si="15"/>
        <v>1.9540234983336066E-3</v>
      </c>
      <c r="M25" s="141">
        <f>$C$3*SUM(L24:$L$51)/(G24*H24)</f>
        <v>2032.0204206200171</v>
      </c>
      <c r="N25" s="141">
        <f t="shared" si="6"/>
        <v>773.33952784855205</v>
      </c>
      <c r="O25" s="144">
        <v>0</v>
      </c>
      <c r="P25" s="143">
        <f t="shared" si="1"/>
        <v>24.619581977184389</v>
      </c>
      <c r="Q25" s="144">
        <f t="shared" si="2"/>
        <v>2.5872132609075922</v>
      </c>
      <c r="R25" s="144">
        <f t="shared" si="3"/>
        <v>1.5466790556971042</v>
      </c>
      <c r="S25" s="144">
        <f t="shared" si="7"/>
        <v>63.608529184818529</v>
      </c>
      <c r="T25" s="144">
        <f t="shared" si="8"/>
        <v>14.962289230196403</v>
      </c>
      <c r="U25" s="145">
        <f t="shared" si="12"/>
        <v>49.817344121225851</v>
      </c>
      <c r="V25" s="143">
        <f t="shared" si="9"/>
        <v>48.814990094007847</v>
      </c>
      <c r="W25" s="143">
        <f t="shared" si="4"/>
        <v>38.743808811623985</v>
      </c>
      <c r="X25" s="146">
        <f t="shared" si="10"/>
        <v>50.626990437105462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5">
        <f>'AAA rated'!E19</f>
        <v>1.6639030035353659</v>
      </c>
      <c r="F26" s="195">
        <f t="shared" si="11"/>
        <v>1.8518981213059291</v>
      </c>
      <c r="G26" s="138">
        <f t="shared" si="5"/>
        <v>0.77912370145122234</v>
      </c>
      <c r="H26" s="115">
        <f>PRODUCT($D$12:D26)</f>
        <v>0.97718549882519523</v>
      </c>
      <c r="I26" s="115">
        <f t="shared" si="14"/>
        <v>0.76134838284914519</v>
      </c>
      <c r="J26" s="139">
        <f>$C$6*SUM(I25:$I$50)/(G25*H25)</f>
        <v>1220.4618168231732</v>
      </c>
      <c r="K26" s="140">
        <f t="shared" si="13"/>
        <v>2.6939177735927355E-3</v>
      </c>
      <c r="L26" s="115">
        <f t="shared" si="15"/>
        <v>2.098895187166808E-3</v>
      </c>
      <c r="M26" s="141">
        <f>$C$3*SUM(L25:$L$51)/(G25*H25)</f>
        <v>2052.7608300370198</v>
      </c>
      <c r="N26" s="141">
        <f t="shared" si="6"/>
        <v>832.29901321384659</v>
      </c>
      <c r="O26" s="144">
        <v>0</v>
      </c>
      <c r="P26" s="143">
        <f t="shared" si="1"/>
        <v>26.939177735927355</v>
      </c>
      <c r="Q26" s="144">
        <f t="shared" si="2"/>
        <v>2.6389575261257443</v>
      </c>
      <c r="R26" s="144">
        <f t="shared" si="3"/>
        <v>1.6645980264276932</v>
      </c>
      <c r="S26" s="144">
        <f t="shared" si="7"/>
        <v>63.608529184818529</v>
      </c>
      <c r="T26" s="144">
        <f t="shared" si="8"/>
        <v>16.012711355505001</v>
      </c>
      <c r="U26" s="145">
        <f t="shared" si="12"/>
        <v>48.37850725184272</v>
      </c>
      <c r="V26" s="143">
        <f t="shared" si="9"/>
        <v>47.274775741310251</v>
      </c>
      <c r="W26" s="143">
        <f t="shared" si="4"/>
        <v>36.832898260846093</v>
      </c>
      <c r="X26" s="146">
        <f t="shared" si="10"/>
        <v>49.157412982830216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5">
        <f>'AAA rated'!E20</f>
        <v>1.6756703208435078</v>
      </c>
      <c r="F27" s="195">
        <f t="shared" si="11"/>
        <v>1.8521800804656365</v>
      </c>
      <c r="G27" s="138">
        <f t="shared" si="5"/>
        <v>0.7648257481213705</v>
      </c>
      <c r="H27" s="115">
        <f>PRODUCT($D$12:D27)</f>
        <v>0.97429439263230044</v>
      </c>
      <c r="I27" s="115">
        <f t="shared" si="14"/>
        <v>0.74516543773545552</v>
      </c>
      <c r="J27" s="139">
        <f>$C$6*SUM(I26:$I$50)/(G26*H26)</f>
        <v>1181.7254749558774</v>
      </c>
      <c r="K27" s="140">
        <f t="shared" si="13"/>
        <v>2.8911061928947879E-3</v>
      </c>
      <c r="L27" s="115">
        <f t="shared" si="15"/>
        <v>2.2111924568790835E-3</v>
      </c>
      <c r="M27" s="141">
        <f>$C$3*SUM(L26:$L$51)/(G26*H26)</f>
        <v>2071.2296064340362</v>
      </c>
      <c r="N27" s="141">
        <f t="shared" si="6"/>
        <v>889.5041314781588</v>
      </c>
      <c r="O27" s="144">
        <v>0</v>
      </c>
      <c r="P27" s="143">
        <f t="shared" si="1"/>
        <v>28.911061928947881</v>
      </c>
      <c r="Q27" s="144">
        <f t="shared" si="2"/>
        <v>2.6917366766482584</v>
      </c>
      <c r="R27" s="144">
        <f t="shared" si="3"/>
        <v>1.7790082629563175</v>
      </c>
      <c r="S27" s="144">
        <f t="shared" si="7"/>
        <v>63.608529184818529</v>
      </c>
      <c r="T27" s="144">
        <f t="shared" si="8"/>
        <v>17.035071667876863</v>
      </c>
      <c r="U27" s="145">
        <f t="shared" si="12"/>
        <v>47.261793984142919</v>
      </c>
      <c r="V27" s="143">
        <f t="shared" si="9"/>
        <v>46.046900864493438</v>
      </c>
      <c r="W27" s="143">
        <f t="shared" si="4"/>
        <v>35.217855402356776</v>
      </c>
      <c r="X27" s="146">
        <f t="shared" si="10"/>
        <v>48.005454266231396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5">
        <f>'AAA rated'!E21</f>
        <v>1.6860612728192013</v>
      </c>
      <c r="F28" s="195">
        <f t="shared" si="11"/>
        <v>1.8523165044302985</v>
      </c>
      <c r="G28" s="138">
        <f t="shared" si="5"/>
        <v>0.75078915694250026</v>
      </c>
      <c r="H28" s="115">
        <f>PRODUCT($D$12:D28)</f>
        <v>0.97101924835240661</v>
      </c>
      <c r="I28" s="115">
        <f t="shared" si="14"/>
        <v>0.72903072284544368</v>
      </c>
      <c r="J28" s="139">
        <f>$C$6*SUM(I27:$I$50)/(G27*H27)</f>
        <v>1142.3993725286498</v>
      </c>
      <c r="K28" s="140">
        <f t="shared" si="13"/>
        <v>3.2751442798938379E-3</v>
      </c>
      <c r="L28" s="115">
        <f t="shared" si="15"/>
        <v>2.4589428127665468E-3</v>
      </c>
      <c r="M28" s="141">
        <f>$C$3*SUM(L27:$L$51)/(G27*H27)</f>
        <v>2088.0441854960764</v>
      </c>
      <c r="N28" s="141">
        <f t="shared" si="6"/>
        <v>945.64481296742656</v>
      </c>
      <c r="O28" s="144">
        <v>0</v>
      </c>
      <c r="P28" s="143">
        <f t="shared" si="1"/>
        <v>32.751442798938378</v>
      </c>
      <c r="Q28" s="144">
        <f t="shared" si="2"/>
        <v>2.7455714101812241</v>
      </c>
      <c r="R28" s="144">
        <f t="shared" si="3"/>
        <v>1.8912896259348531</v>
      </c>
      <c r="S28" s="144">
        <f t="shared" si="7"/>
        <v>63.608529184818529</v>
      </c>
      <c r="T28" s="144">
        <f t="shared" si="8"/>
        <v>18.002016505537167</v>
      </c>
      <c r="U28" s="145">
        <f t="shared" si="12"/>
        <v>44.222241855301228</v>
      </c>
      <c r="V28" s="143">
        <f t="shared" si="9"/>
        <v>42.94064804679293</v>
      </c>
      <c r="W28" s="143">
        <f t="shared" si="4"/>
        <v>32.239372945616282</v>
      </c>
      <c r="X28" s="146">
        <f t="shared" si="10"/>
        <v>44.883778284369725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5">
        <f>'AAA rated'!E22</f>
        <v>1.6953013025443886</v>
      </c>
      <c r="F29" s="195">
        <f t="shared" si="11"/>
        <v>1.8523818078725718</v>
      </c>
      <c r="G29" s="138">
        <f t="shared" si="5"/>
        <v>0.73700969333450017</v>
      </c>
      <c r="H29" s="115">
        <f>PRODUCT($D$12:D29)</f>
        <v>0.96730639780222649</v>
      </c>
      <c r="I29" s="115">
        <f t="shared" si="14"/>
        <v>0.71291419160471903</v>
      </c>
      <c r="J29" s="139">
        <f>$C$6*SUM(I28:$I$50)/(G28*H28)</f>
        <v>1102.6663565943177</v>
      </c>
      <c r="K29" s="140">
        <f t="shared" si="13"/>
        <v>3.7128505501801135E-3</v>
      </c>
      <c r="L29" s="115">
        <f t="shared" si="15"/>
        <v>2.7364068453850756E-3</v>
      </c>
      <c r="M29" s="141">
        <f>$C$3*SUM(L28:$L$51)/(G28*H28)</f>
        <v>2103.9256465636504</v>
      </c>
      <c r="N29" s="141">
        <f t="shared" si="6"/>
        <v>1001.2592899693327</v>
      </c>
      <c r="O29" s="144">
        <v>0</v>
      </c>
      <c r="P29" s="143">
        <f t="shared" si="1"/>
        <v>37.128505501801136</v>
      </c>
      <c r="Q29" s="144">
        <f t="shared" si="2"/>
        <v>2.8004828383848488</v>
      </c>
      <c r="R29" s="144">
        <f t="shared" si="3"/>
        <v>2.0025185799386653</v>
      </c>
      <c r="S29" s="144">
        <f t="shared" si="7"/>
        <v>63.608529184818529</v>
      </c>
      <c r="T29" s="144">
        <f t="shared" si="8"/>
        <v>18.94868615394568</v>
      </c>
      <c r="U29" s="145">
        <f t="shared" si="12"/>
        <v>40.625708418639555</v>
      </c>
      <c r="V29" s="143">
        <f t="shared" si="9"/>
        <v>39.297507668597817</v>
      </c>
      <c r="W29" s="143">
        <f t="shared" si="4"/>
        <v>28.962644075643446</v>
      </c>
      <c r="X29" s="146">
        <f t="shared" si="10"/>
        <v>41.182855636532722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5">
        <f>'AAA rated'!E23</f>
        <v>1.7035703276014111</v>
      </c>
      <c r="F30" s="195">
        <f t="shared" si="11"/>
        <v>1.8524127786278157</v>
      </c>
      <c r="G30" s="138">
        <f t="shared" si="5"/>
        <v>0.72348290437906992</v>
      </c>
      <c r="H30" s="115">
        <f>PRODUCT($D$12:D30)</f>
        <v>0.96309783319744502</v>
      </c>
      <c r="I30" s="115">
        <f t="shared" si="14"/>
        <v>0.69678481756287658</v>
      </c>
      <c r="J30" s="139">
        <f>$C$6*SUM(I29:$I$50)/(G29*H29)</f>
        <v>1062.5473414822527</v>
      </c>
      <c r="K30" s="140">
        <f t="shared" si="13"/>
        <v>4.2085646047814729E-3</v>
      </c>
      <c r="L30" s="115">
        <f t="shared" si="15"/>
        <v>3.0448245435342526E-3</v>
      </c>
      <c r="M30" s="141">
        <f>$C$3*SUM(L29:$L$51)/(G29*H29)</f>
        <v>2116.9967221476054</v>
      </c>
      <c r="N30" s="141">
        <f t="shared" si="6"/>
        <v>1054.4493806653527</v>
      </c>
      <c r="O30" s="144">
        <v>0</v>
      </c>
      <c r="P30" s="143">
        <f t="shared" si="1"/>
        <v>42.085646047814727</v>
      </c>
      <c r="Q30" s="144">
        <f t="shared" si="2"/>
        <v>2.8564924951525454</v>
      </c>
      <c r="R30" s="144">
        <f t="shared" si="3"/>
        <v>2.1088987613307055</v>
      </c>
      <c r="S30" s="144">
        <f t="shared" si="7"/>
        <v>63.608529184818529</v>
      </c>
      <c r="T30" s="144">
        <f t="shared" si="8"/>
        <v>19.839468167021884</v>
      </c>
      <c r="U30" s="145">
        <f t="shared" si="12"/>
        <v>36.396960047542429</v>
      </c>
      <c r="V30" s="143">
        <f t="shared" si="9"/>
        <v>35.053833356762091</v>
      </c>
      <c r="W30" s="143">
        <f t="shared" si="4"/>
        <v>25.360849166570159</v>
      </c>
      <c r="X30" s="146">
        <f t="shared" si="10"/>
        <v>36.831347148700921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5">
        <f>'AAA rated'!E24</f>
        <v>1.7110131786357228</v>
      </c>
      <c r="F31" s="195">
        <f t="shared" si="11"/>
        <v>1.8524273482876481</v>
      </c>
      <c r="G31" s="138">
        <f t="shared" si="5"/>
        <v>0.71020427736709346</v>
      </c>
      <c r="H31" s="115">
        <f>PRODUCT($D$12:D31)</f>
        <v>0.9584939744600528</v>
      </c>
      <c r="I31" s="115">
        <f t="shared" si="14"/>
        <v>0.68072652049211513</v>
      </c>
      <c r="J31" s="139">
        <f>$C$6*SUM(I30:$I$50)/(G30*H30)</f>
        <v>1022.0625333406314</v>
      </c>
      <c r="K31" s="140">
        <f t="shared" si="13"/>
        <v>4.6038587373922191E-3</v>
      </c>
      <c r="L31" s="115">
        <f t="shared" si="15"/>
        <v>3.2696801676898204E-3</v>
      </c>
      <c r="M31" s="141">
        <f>$C$3*SUM(L30:$L$51)/(G30*H30)</f>
        <v>2126.7296602830011</v>
      </c>
      <c r="N31" s="141">
        <f t="shared" si="6"/>
        <v>1104.6671269423696</v>
      </c>
      <c r="O31" s="144">
        <v>0</v>
      </c>
      <c r="P31" s="143">
        <f t="shared" si="1"/>
        <v>46.038587373922191</v>
      </c>
      <c r="Q31" s="144">
        <f t="shared" si="2"/>
        <v>2.9136223450555963</v>
      </c>
      <c r="R31" s="144">
        <f t="shared" si="3"/>
        <v>2.2093342538847391</v>
      </c>
      <c r="S31" s="144">
        <f t="shared" si="7"/>
        <v>63.608529184818529</v>
      </c>
      <c r="T31" s="144">
        <f t="shared" si="8"/>
        <v>20.693727325127483</v>
      </c>
      <c r="U31" s="145">
        <f t="shared" si="12"/>
        <v>33.140712537083481</v>
      </c>
      <c r="V31" s="143">
        <f t="shared" si="9"/>
        <v>31.765173276107245</v>
      </c>
      <c r="W31" s="143">
        <f t="shared" si="4"/>
        <v>22.559761931998253</v>
      </c>
      <c r="X31" s="146">
        <f t="shared" si="10"/>
        <v>33.462928931682868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5">
        <f>'AAA rated'!E25</f>
        <v>1.7177475107786024</v>
      </c>
      <c r="F32" s="195">
        <f t="shared" si="11"/>
        <v>1.8524341536361959</v>
      </c>
      <c r="G32" s="138">
        <f t="shared" si="5"/>
        <v>0.69716931555957717</v>
      </c>
      <c r="H32" s="115">
        <f>PRODUCT($D$12:D32)</f>
        <v>0.95334846950538654</v>
      </c>
      <c r="I32" s="115">
        <f t="shared" si="14"/>
        <v>0.66464529997484079</v>
      </c>
      <c r="J32" s="139">
        <f>$C$6*SUM(I31:$I$50)/(G31*H31)</f>
        <v>981.06387561530619</v>
      </c>
      <c r="K32" s="140">
        <f t="shared" si="13"/>
        <v>5.1455049546662579E-3</v>
      </c>
      <c r="L32" s="115">
        <f t="shared" si="15"/>
        <v>3.5872881674530884E-3</v>
      </c>
      <c r="M32" s="141">
        <f>$C$3*SUM(L31:$L$51)/(G31*H31)</f>
        <v>2132.1700407106714</v>
      </c>
      <c r="N32" s="141">
        <f t="shared" si="6"/>
        <v>1151.1061650953652</v>
      </c>
      <c r="O32" s="144">
        <v>0</v>
      </c>
      <c r="P32" s="143">
        <f t="shared" si="1"/>
        <v>51.455049546662579</v>
      </c>
      <c r="Q32" s="144">
        <f t="shared" si="2"/>
        <v>2.9718947919567085</v>
      </c>
      <c r="R32" s="144">
        <f t="shared" si="3"/>
        <v>2.3022123301907307</v>
      </c>
      <c r="S32" s="144">
        <f t="shared" si="7"/>
        <v>63.608529184818529</v>
      </c>
      <c r="T32" s="144">
        <f t="shared" si="8"/>
        <v>21.450919592880801</v>
      </c>
      <c r="U32" s="145">
        <f t="shared" si="12"/>
        <v>28.33029210888931</v>
      </c>
      <c r="V32" s="143">
        <f t="shared" si="9"/>
        <v>27.008640622650152</v>
      </c>
      <c r="W32" s="143">
        <f t="shared" si="4"/>
        <v>18.829595497087599</v>
      </c>
      <c r="X32" s="146">
        <f t="shared" si="10"/>
        <v>28.526342001410065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5">
        <f>'AAA rated'!E26</f>
        <v>1.7238697744849769</v>
      </c>
      <c r="F33" s="195">
        <f t="shared" si="11"/>
        <v>1.8524373123188411</v>
      </c>
      <c r="G33" s="138">
        <f t="shared" si="5"/>
        <v>0.68437357348378747</v>
      </c>
      <c r="H33" s="115">
        <f>PRODUCT($D$12:D33)</f>
        <v>0.94778226433062707</v>
      </c>
      <c r="I33" s="115">
        <f t="shared" si="14"/>
        <v>0.64863713512450683</v>
      </c>
      <c r="J33" s="139">
        <f>$C$6*SUM(I32:$I$50)/(G32*H32)</f>
        <v>939.65335451278281</v>
      </c>
      <c r="K33" s="140">
        <f t="shared" si="13"/>
        <v>5.5662051747594754E-3</v>
      </c>
      <c r="L33" s="115">
        <f t="shared" si="15"/>
        <v>3.8093637261940919E-3</v>
      </c>
      <c r="M33" s="141">
        <f>$C$3*SUM(L32:$L$51)/(G32*H32)</f>
        <v>2134.5639415298842</v>
      </c>
      <c r="N33" s="141">
        <f t="shared" si="6"/>
        <v>1194.9105870171015</v>
      </c>
      <c r="O33" s="144">
        <v>0</v>
      </c>
      <c r="P33" s="143">
        <f t="shared" si="1"/>
        <v>55.662051747594752</v>
      </c>
      <c r="Q33" s="144">
        <f t="shared" si="2"/>
        <v>3.0313326877958424</v>
      </c>
      <c r="R33" s="144">
        <f t="shared" si="3"/>
        <v>2.389821174034203</v>
      </c>
      <c r="S33" s="144">
        <f t="shared" si="7"/>
        <v>63.608529184818529</v>
      </c>
      <c r="T33" s="144">
        <f t="shared" si="8"/>
        <v>22.181749598920259</v>
      </c>
      <c r="U33" s="145">
        <f t="shared" si="12"/>
        <v>24.707073174313997</v>
      </c>
      <c r="V33" s="143">
        <f t="shared" si="9"/>
        <v>23.416925758133814</v>
      </c>
      <c r="W33" s="143">
        <f t="shared" si="4"/>
        <v>16.025925161098588</v>
      </c>
      <c r="X33" s="146">
        <f t="shared" si="10"/>
        <v>24.797270162791566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5">
        <f>'AAA rated'!E27</f>
        <v>1.729459730818963</v>
      </c>
      <c r="F34" s="195">
        <f t="shared" si="11"/>
        <v>1.8524387701666569</v>
      </c>
      <c r="G34" s="138">
        <f t="shared" si="5"/>
        <v>0.67181267276365608</v>
      </c>
      <c r="H34" s="115">
        <f>PRODUCT($D$12:D34)</f>
        <v>0.94172175522327528</v>
      </c>
      <c r="I34" s="115">
        <f t="shared" si="14"/>
        <v>0.63266060937623003</v>
      </c>
      <c r="J34" s="139">
        <f>$C$6*SUM(I33:$I$50)/(G33*H33)</f>
        <v>897.66534197852604</v>
      </c>
      <c r="K34" s="140">
        <f t="shared" si="13"/>
        <v>6.0605091073517858E-3</v>
      </c>
      <c r="L34" s="115">
        <f t="shared" si="15"/>
        <v>4.071526821718483E-3</v>
      </c>
      <c r="M34" s="141">
        <f>$C$3*SUM(L33:$L$51)/(G33*H33)</f>
        <v>2131.9393150280189</v>
      </c>
      <c r="N34" s="141">
        <f t="shared" si="6"/>
        <v>1234.2739730494927</v>
      </c>
      <c r="O34" s="144">
        <v>0</v>
      </c>
      <c r="P34" s="143">
        <f t="shared" si="1"/>
        <v>60.605091073517855</v>
      </c>
      <c r="Q34" s="144">
        <f t="shared" si="2"/>
        <v>3.0919593415517594</v>
      </c>
      <c r="R34" s="144">
        <f t="shared" si="3"/>
        <v>2.4685479460989854</v>
      </c>
      <c r="S34" s="144">
        <f t="shared" si="7"/>
        <v>63.608529184818529</v>
      </c>
      <c r="T34" s="144">
        <f t="shared" si="8"/>
        <v>22.816801466042467</v>
      </c>
      <c r="U34" s="145">
        <f t="shared" si="12"/>
        <v>20.259732289692408</v>
      </c>
      <c r="V34" s="143">
        <f t="shared" si="9"/>
        <v>19.0790306522028</v>
      </c>
      <c r="W34" s="143">
        <f t="shared" si="4"/>
        <v>12.817534576196083</v>
      </c>
      <c r="X34" s="146">
        <f t="shared" si="10"/>
        <v>20.25633806307539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5">
        <f>'AAA rated'!E28</f>
        <v>1.7345838853523512</v>
      </c>
      <c r="F35" s="195">
        <f t="shared" si="11"/>
        <v>1.8524394396202766</v>
      </c>
      <c r="G35" s="138">
        <f t="shared" si="5"/>
        <v>0.65948230871465552</v>
      </c>
      <c r="H35" s="115">
        <f>PRODUCT($D$12:D35)</f>
        <v>0.93514321995631577</v>
      </c>
      <c r="I35" s="115">
        <f t="shared" si="14"/>
        <v>0.61671040967564805</v>
      </c>
      <c r="J35" s="139">
        <f>$C$6*SUM(I34:$I$50)/(G34*H34)</f>
        <v>855.11918011615319</v>
      </c>
      <c r="K35" s="140">
        <f t="shared" si="13"/>
        <v>6.5785352669595065E-3</v>
      </c>
      <c r="L35" s="115">
        <f t="shared" si="15"/>
        <v>4.3384276258152379E-3</v>
      </c>
      <c r="M35" s="141">
        <f>$C$3*SUM(L34:$L$51)/(G34*H34)</f>
        <v>2125.5651962005359</v>
      </c>
      <c r="N35" s="141">
        <f t="shared" si="6"/>
        <v>1270.4460160843828</v>
      </c>
      <c r="O35" s="144">
        <v>0</v>
      </c>
      <c r="P35" s="143">
        <f t="shared" si="1"/>
        <v>65.785352669595071</v>
      </c>
      <c r="Q35" s="144">
        <f t="shared" si="2"/>
        <v>3.1537985283827941</v>
      </c>
      <c r="R35" s="144">
        <f t="shared" si="3"/>
        <v>2.5408920321687658</v>
      </c>
      <c r="S35" s="144">
        <f t="shared" si="7"/>
        <v>63.608529184818529</v>
      </c>
      <c r="T35" s="144">
        <f t="shared" si="8"/>
        <v>23.388428030360757</v>
      </c>
      <c r="U35" s="145">
        <f t="shared" si="12"/>
        <v>15.516913985032659</v>
      </c>
      <c r="V35" s="143">
        <f t="shared" si="9"/>
        <v>14.510536907748628</v>
      </c>
      <c r="W35" s="143">
        <f t="shared" si="4"/>
        <v>9.5694423806112834</v>
      </c>
      <c r="X35" s="146">
        <f t="shared" si="10"/>
        <v>15.446096685292797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5">
        <f>'AAA rated'!E29</f>
        <v>1.739298119763778</v>
      </c>
      <c r="F36" s="195">
        <f t="shared" si="11"/>
        <v>1.8524397456380228</v>
      </c>
      <c r="G36" s="138">
        <f t="shared" si="5"/>
        <v>0.64737825261253013</v>
      </c>
      <c r="H36" s="115">
        <f>PRODUCT($D$12:D36)</f>
        <v>0.92768528834132047</v>
      </c>
      <c r="I36" s="115">
        <f t="shared" si="14"/>
        <v>0.60056328094075517</v>
      </c>
      <c r="J36" s="139">
        <f>$C$6*SUM(I35:$I$50)/(G35*H35)</f>
        <v>811.98177116770648</v>
      </c>
      <c r="K36" s="140">
        <f t="shared" si="13"/>
        <v>7.4579316149953057E-3</v>
      </c>
      <c r="L36" s="115">
        <f t="shared" si="15"/>
        <v>4.8281027370194055E-3</v>
      </c>
      <c r="M36" s="141">
        <f>$C$3*SUM(L35:$L$51)/(G35*H35)</f>
        <v>2114.5193653627484</v>
      </c>
      <c r="N36" s="141">
        <f t="shared" si="6"/>
        <v>1302.5375941950419</v>
      </c>
      <c r="O36" s="144">
        <v>0</v>
      </c>
      <c r="P36" s="143">
        <f t="shared" si="1"/>
        <v>74.579316149953058</v>
      </c>
      <c r="Q36" s="144">
        <f t="shared" si="2"/>
        <v>3.2168744989504501</v>
      </c>
      <c r="R36" s="144">
        <f t="shared" si="3"/>
        <v>2.6050751883900838</v>
      </c>
      <c r="S36" s="144">
        <f t="shared" si="7"/>
        <v>63.608529184818529</v>
      </c>
      <c r="T36" s="144">
        <f t="shared" si="8"/>
        <v>23.817648768615484</v>
      </c>
      <c r="U36" s="145">
        <f t="shared" si="12"/>
        <v>7.0249121161404133</v>
      </c>
      <c r="V36" s="143">
        <f t="shared" si="9"/>
        <v>6.5169076220341555</v>
      </c>
      <c r="W36" s="143">
        <f t="shared" si="4"/>
        <v>4.2189042687897507</v>
      </c>
      <c r="X36" s="146">
        <f t="shared" si="10"/>
        <v>6.9551654871896362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5">
        <f>'AAA rated'!E30</f>
        <v>1.7436497261169506</v>
      </c>
      <c r="F37" s="195">
        <f t="shared" si="11"/>
        <v>1.8524398849462642</v>
      </c>
      <c r="G37" s="138">
        <f t="shared" si="5"/>
        <v>0.63549635196226228</v>
      </c>
      <c r="H37" s="115">
        <f>PRODUCT($D$12:D37)</f>
        <v>0.91935247309226886</v>
      </c>
      <c r="I37" s="115">
        <f t="shared" si="14"/>
        <v>0.58424514281762074</v>
      </c>
      <c r="J37" s="139">
        <f>$C$6*SUM(I36:$I$50)/(G36*H36)</f>
        <v>768.49448392947795</v>
      </c>
      <c r="K37" s="140">
        <f t="shared" si="13"/>
        <v>8.3328152490516061E-3</v>
      </c>
      <c r="L37" s="115">
        <f t="shared" si="15"/>
        <v>5.295473692347806E-3</v>
      </c>
      <c r="M37" s="141">
        <f>$C$3*SUM(L36:$L$51)/(G36*H36)</f>
        <v>2099.13237760229</v>
      </c>
      <c r="N37" s="141">
        <f t="shared" si="6"/>
        <v>1330.637893672812</v>
      </c>
      <c r="O37" s="144">
        <v>0</v>
      </c>
      <c r="P37" s="143">
        <f t="shared" si="1"/>
        <v>83.328152490516061</v>
      </c>
      <c r="Q37" s="144">
        <f t="shared" si="2"/>
        <v>3.2812119889294591</v>
      </c>
      <c r="R37" s="144">
        <f t="shared" si="3"/>
        <v>2.6612757873456241</v>
      </c>
      <c r="S37" s="144">
        <f t="shared" si="7"/>
        <v>63.608529184818529</v>
      </c>
      <c r="T37" s="144">
        <f t="shared" si="8"/>
        <v>24.173891885602359</v>
      </c>
      <c r="U37" s="145">
        <f t="shared" si="12"/>
        <v>-1.4882191963702525</v>
      </c>
      <c r="V37" s="143">
        <f t="shared" si="9"/>
        <v>-1.3681979986863806</v>
      </c>
      <c r="W37" s="143">
        <f t="shared" si="4"/>
        <v>-0.86948483692726297</v>
      </c>
      <c r="X37" s="146">
        <f t="shared" si="10"/>
        <v>-1.4640148767939296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5">
        <f>'AAA rated'!E31</f>
        <v>1.7476789935987398</v>
      </c>
      <c r="F38" s="195">
        <f t="shared" si="11"/>
        <v>1.8524399481252587</v>
      </c>
      <c r="G38" s="138">
        <f t="shared" si="5"/>
        <v>0.62383252985779225</v>
      </c>
      <c r="H38" s="115">
        <f>PRODUCT($D$12:D38)</f>
        <v>0.9102993702325356</v>
      </c>
      <c r="I38" s="115">
        <f t="shared" si="14"/>
        <v>0.56787435906011774</v>
      </c>
      <c r="J38" s="139">
        <f>$C$6*SUM(I37:$I$50)/(G37*H37)</f>
        <v>724.57362611340795</v>
      </c>
      <c r="K38" s="140">
        <f t="shared" si="13"/>
        <v>9.0531028597332641E-3</v>
      </c>
      <c r="L38" s="115">
        <f t="shared" si="15"/>
        <v>5.6476200600502156E-3</v>
      </c>
      <c r="M38" s="141">
        <f>$C$3*SUM(L37:$L$51)/(G37*H37)</f>
        <v>2075.1234569186058</v>
      </c>
      <c r="N38" s="141">
        <f t="shared" si="6"/>
        <v>1350.5498308051979</v>
      </c>
      <c r="O38" s="144">
        <v>0</v>
      </c>
      <c r="P38" s="143">
        <f t="shared" si="1"/>
        <v>90.531028597332636</v>
      </c>
      <c r="Q38" s="144">
        <f t="shared" si="2"/>
        <v>3.3468362287080486</v>
      </c>
      <c r="R38" s="144">
        <f t="shared" si="3"/>
        <v>2.7010996616103959</v>
      </c>
      <c r="S38" s="144">
        <f t="shared" si="7"/>
        <v>63.608529184818529</v>
      </c>
      <c r="T38" s="144">
        <f t="shared" si="8"/>
        <v>24.407367070553111</v>
      </c>
      <c r="U38" s="145">
        <f t="shared" si="12"/>
        <v>-8.5630682322794343</v>
      </c>
      <c r="V38" s="143">
        <f t="shared" si="9"/>
        <v>-7.7949556191022005</v>
      </c>
      <c r="W38" s="143">
        <f t="shared" si="4"/>
        <v>-4.8627468839937391</v>
      </c>
      <c r="X38" s="146">
        <f t="shared" si="10"/>
        <v>-8.3625903324128412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5">
        <f>'AAA rated'!E32</f>
        <v>1.7514204572802101</v>
      </c>
      <c r="F39" s="195">
        <f t="shared" si="11"/>
        <v>1.8524399766799107</v>
      </c>
      <c r="G39" s="138">
        <f t="shared" si="5"/>
        <v>0.61238278393887291</v>
      </c>
      <c r="H39" s="115">
        <f>PRODUCT($D$12:D39)</f>
        <v>0.90062735185070897</v>
      </c>
      <c r="I39" s="115">
        <f t="shared" si="14"/>
        <v>0.55152868501783203</v>
      </c>
      <c r="J39" s="139">
        <f>$C$6*SUM(I38:$I$50)/(G38*H38)</f>
        <v>680.01951715454186</v>
      </c>
      <c r="K39" s="140">
        <f t="shared" si="13"/>
        <v>9.6720183818266303E-3</v>
      </c>
      <c r="L39" s="115">
        <f t="shared" si="15"/>
        <v>5.9229775429709445E-3</v>
      </c>
      <c r="M39" s="141">
        <f>$C$3*SUM(L38:$L$51)/(G38*H38)</f>
        <v>2041.6946900844055</v>
      </c>
      <c r="N39" s="141">
        <f t="shared" si="6"/>
        <v>1361.6751729298635</v>
      </c>
      <c r="O39" s="144">
        <v>0</v>
      </c>
      <c r="P39" s="143">
        <f t="shared" si="1"/>
        <v>96.720183818266307</v>
      </c>
      <c r="Q39" s="144">
        <f t="shared" si="2"/>
        <v>3.413772953282209</v>
      </c>
      <c r="R39" s="144">
        <f t="shared" si="3"/>
        <v>2.723350345859727</v>
      </c>
      <c r="S39" s="144">
        <f t="shared" si="7"/>
        <v>63.608529184818529</v>
      </c>
      <c r="T39" s="144">
        <f t="shared" si="8"/>
        <v>24.497155203096483</v>
      </c>
      <c r="U39" s="145">
        <f t="shared" si="12"/>
        <v>-14.751622729493235</v>
      </c>
      <c r="V39" s="143">
        <f t="shared" si="9"/>
        <v>-13.28571491436422</v>
      </c>
      <c r="W39" s="143">
        <f t="shared" si="4"/>
        <v>-8.1359430858765656</v>
      </c>
      <c r="X39" s="146">
        <f t="shared" si="10"/>
        <v>-14.290345877018215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5">
        <f>'AAA rated'!E33</f>
        <v>1.7549038894272715</v>
      </c>
      <c r="F40" s="195">
        <f t="shared" si="11"/>
        <v>1.8524399895449903</v>
      </c>
      <c r="G40" s="138">
        <f t="shared" si="5"/>
        <v>0.60114318517818532</v>
      </c>
      <c r="H40" s="115">
        <f>PRODUCT($D$12:D40)</f>
        <v>0.8902412966293034</v>
      </c>
      <c r="I40" s="115">
        <f t="shared" si="14"/>
        <v>0.53516248863289717</v>
      </c>
      <c r="J40" s="139">
        <f>$C$6*SUM(I39:$I$50)/(G39*H39)</f>
        <v>634.67958098970496</v>
      </c>
      <c r="K40" s="140">
        <f t="shared" si="13"/>
        <v>1.0386055221405566E-2</v>
      </c>
      <c r="L40" s="115">
        <f t="shared" si="15"/>
        <v>6.2435063172322641E-3</v>
      </c>
      <c r="M40" s="141">
        <f>$C$3*SUM(L39:$L$51)/(G39*H39)</f>
        <v>1999.8050743126169</v>
      </c>
      <c r="N40" s="141">
        <f t="shared" si="6"/>
        <v>1365.125493322912</v>
      </c>
      <c r="O40" s="144">
        <v>0</v>
      </c>
      <c r="P40" s="143">
        <f t="shared" si="1"/>
        <v>103.86055221405566</v>
      </c>
      <c r="Q40" s="144">
        <f t="shared" si="2"/>
        <v>3.4820484123478539</v>
      </c>
      <c r="R40" s="144">
        <f t="shared" si="3"/>
        <v>2.730250986645824</v>
      </c>
      <c r="S40" s="144">
        <f t="shared" si="7"/>
        <v>63.608529184818529</v>
      </c>
      <c r="T40" s="144">
        <f t="shared" si="8"/>
        <v>24.427406856255278</v>
      </c>
      <c r="U40" s="145">
        <f t="shared" si="12"/>
        <v>-22.036915571975527</v>
      </c>
      <c r="V40" s="143">
        <f t="shared" si="9"/>
        <v>-19.618172292505982</v>
      </c>
      <c r="W40" s="143">
        <f t="shared" si="4"/>
        <v>-11.793330579291467</v>
      </c>
      <c r="X40" s="146">
        <f t="shared" si="10"/>
        <v>-21.156654396970591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5">
        <f>'AAA rated'!E34</f>
        <v>1.7581550929571788</v>
      </c>
      <c r="F41" s="195">
        <f t="shared" si="11"/>
        <v>1.8524399953244881</v>
      </c>
      <c r="G41" s="138">
        <f t="shared" si="5"/>
        <v>0.59010987660515313</v>
      </c>
      <c r="H41" s="115">
        <f>PRODUCT($D$12:D41)</f>
        <v>0.8788272245150891</v>
      </c>
      <c r="I41" s="115">
        <f t="shared" si="14"/>
        <v>0.51860462501584847</v>
      </c>
      <c r="J41" s="139">
        <f>$C$6*SUM(I40:$I$50)/(G40*H40)</f>
        <v>588.53539428424381</v>
      </c>
      <c r="K41" s="140">
        <f t="shared" si="13"/>
        <v>1.1414072114214302E-2</v>
      </c>
      <c r="L41" s="115">
        <f t="shared" si="15"/>
        <v>6.7355566868813211E-3</v>
      </c>
      <c r="M41" s="141">
        <f>$C$3*SUM(L40:$L$51)/(G40*H40)</f>
        <v>1950.2863329680636</v>
      </c>
      <c r="N41" s="141">
        <f t="shared" si="6"/>
        <v>1361.7509386838196</v>
      </c>
      <c r="O41" s="144">
        <v>0</v>
      </c>
      <c r="P41" s="143">
        <f t="shared" si="1"/>
        <v>114.14072114214302</v>
      </c>
      <c r="Q41" s="144">
        <f t="shared" si="2"/>
        <v>3.5516893805948104</v>
      </c>
      <c r="R41" s="144">
        <f t="shared" si="3"/>
        <v>2.7235018773676392</v>
      </c>
      <c r="S41" s="144">
        <f t="shared" si="7"/>
        <v>63.608529184818529</v>
      </c>
      <c r="T41" s="144">
        <f t="shared" si="8"/>
        <v>24.173296337908496</v>
      </c>
      <c r="U41" s="145">
        <f t="shared" si="12"/>
        <v>-32.634086877378451</v>
      </c>
      <c r="V41" s="143">
        <f t="shared" si="9"/>
        <v>-28.679723995030795</v>
      </c>
      <c r="W41" s="143">
        <f t="shared" si="4"/>
        <v>-16.924188387777473</v>
      </c>
      <c r="X41" s="146">
        <f t="shared" si="10"/>
        <v>-31.009449114475238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5">
        <f>'AAA rated'!E35</f>
        <v>1.7611965415041722</v>
      </c>
      <c r="F42" s="195">
        <f t="shared" si="11"/>
        <v>1.8524399979139758</v>
      </c>
      <c r="G42" s="138">
        <f t="shared" si="5"/>
        <v>0.57927907201461937</v>
      </c>
      <c r="H42" s="115">
        <f>PRODUCT($D$12:D42)</f>
        <v>0.86652907391420675</v>
      </c>
      <c r="I42" s="115">
        <f t="shared" si="14"/>
        <v>0.50196215781070919</v>
      </c>
      <c r="J42" s="139">
        <f>$C$6*SUM(I41:$I$50)/(G41*H41)</f>
        <v>541.68658343200968</v>
      </c>
      <c r="K42" s="140">
        <f t="shared" si="13"/>
        <v>1.2298150600882352E-2</v>
      </c>
      <c r="L42" s="115">
        <f t="shared" si="15"/>
        <v>7.1240612675751618E-3</v>
      </c>
      <c r="M42" s="141">
        <f>$C$3*SUM(L41:$L$51)/(G41*H41)</f>
        <v>1892.1640436500261</v>
      </c>
      <c r="N42" s="141">
        <f t="shared" si="6"/>
        <v>1350.4774602180164</v>
      </c>
      <c r="O42" s="144">
        <v>0</v>
      </c>
      <c r="P42" s="143">
        <f t="shared" si="1"/>
        <v>122.98150600882352</v>
      </c>
      <c r="Q42" s="144">
        <f t="shared" si="2"/>
        <v>3.6227231682067069</v>
      </c>
      <c r="R42" s="144">
        <f t="shared" si="3"/>
        <v>2.700954920436033</v>
      </c>
      <c r="S42" s="144">
        <f t="shared" si="7"/>
        <v>63.608529184818529</v>
      </c>
      <c r="T42" s="144">
        <f t="shared" si="8"/>
        <v>23.799793522997934</v>
      </c>
      <c r="U42" s="145">
        <f t="shared" si="12"/>
        <v>-41.896861389649786</v>
      </c>
      <c r="V42" s="143">
        <f t="shared" si="9"/>
        <v>-36.304848499885111</v>
      </c>
      <c r="W42" s="143">
        <f t="shared" si="4"/>
        <v>-21.030638948644793</v>
      </c>
      <c r="X42" s="146">
        <f t="shared" si="10"/>
        <v>-39.356307797059202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5">
        <f>'AAA rated'!E36</f>
        <v>1.764047899553145</v>
      </c>
      <c r="F43" s="195">
        <f t="shared" si="11"/>
        <v>1.8524399990713007</v>
      </c>
      <c r="G43" s="138">
        <f t="shared" si="5"/>
        <v>0.56864705468192578</v>
      </c>
      <c r="H43" s="115">
        <f>PRODUCT($D$12:D43)</f>
        <v>0.85284713256814604</v>
      </c>
      <c r="I43" s="115">
        <f t="shared" si="14"/>
        <v>0.48496901002880216</v>
      </c>
      <c r="J43" s="139">
        <f>$C$6*SUM(I42:$I$50)/(G42*H42)</f>
        <v>493.92864819237457</v>
      </c>
      <c r="K43" s="140">
        <f t="shared" si="13"/>
        <v>1.3681941346060711E-2</v>
      </c>
      <c r="L43" s="115">
        <f t="shared" si="15"/>
        <v>7.7801956487682867E-3</v>
      </c>
      <c r="M43" s="141">
        <f>$C$3*SUM(L42:$L$51)/(G42*H42)</f>
        <v>1820.7138590742625</v>
      </c>
      <c r="N43" s="141">
        <f t="shared" si="6"/>
        <v>1326.7852108818879</v>
      </c>
      <c r="O43" s="144">
        <v>0</v>
      </c>
      <c r="P43" s="143">
        <f t="shared" si="1"/>
        <v>136.81941346060711</v>
      </c>
      <c r="Q43" s="144">
        <f t="shared" si="2"/>
        <v>3.6951776315708402</v>
      </c>
      <c r="R43" s="144">
        <f t="shared" si="3"/>
        <v>2.6535704217637757</v>
      </c>
      <c r="S43" s="144">
        <f t="shared" si="7"/>
        <v>63.608529184818529</v>
      </c>
      <c r="T43" s="144">
        <f t="shared" si="8"/>
        <v>23.104105495759857</v>
      </c>
      <c r="U43" s="145">
        <f t="shared" si="12"/>
        <v>-56.455526833363336</v>
      </c>
      <c r="V43" s="143">
        <f t="shared" si="9"/>
        <v>-48.147934177457948</v>
      </c>
      <c r="W43" s="143">
        <f t="shared" si="4"/>
        <v>-27.379180959030691</v>
      </c>
      <c r="X43" s="146">
        <f t="shared" si="10"/>
        <v>-52.330877104637509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5">
        <f>'AAA rated'!E37</f>
        <v>1.7667264480390308</v>
      </c>
      <c r="F44" s="195">
        <f t="shared" si="11"/>
        <v>1.852439999587375</v>
      </c>
      <c r="G44" s="138">
        <f t="shared" si="5"/>
        <v>0.55821017609384593</v>
      </c>
      <c r="H44" s="115">
        <f>PRODUCT($D$12:D44)</f>
        <v>0.83792936449023636</v>
      </c>
      <c r="I44" s="115">
        <f t="shared" si="14"/>
        <v>0.46774069810629926</v>
      </c>
      <c r="J44" s="139">
        <f>$C$6*SUM(I43:$I$50)/(G43*H43)</f>
        <v>445.39838839097291</v>
      </c>
      <c r="K44" s="140">
        <f t="shared" si="13"/>
        <v>1.4917768077909677E-2</v>
      </c>
      <c r="L44" s="115">
        <f t="shared" si="15"/>
        <v>8.3272499456971145E-3</v>
      </c>
      <c r="M44" s="141">
        <f>$C$3*SUM(L43:$L$51)/(G43*H43)</f>
        <v>1737.6138007890065</v>
      </c>
      <c r="N44" s="141">
        <f t="shared" si="6"/>
        <v>1292.2154123980335</v>
      </c>
      <c r="O44" s="144">
        <v>0</v>
      </c>
      <c r="P44" s="143">
        <f t="shared" si="1"/>
        <v>149.17768077909676</v>
      </c>
      <c r="Q44" s="144">
        <f t="shared" si="2"/>
        <v>3.7690811842022578</v>
      </c>
      <c r="R44" s="144">
        <f t="shared" si="3"/>
        <v>2.5844308247960672</v>
      </c>
      <c r="S44" s="144">
        <f t="shared" si="7"/>
        <v>63.608529184818529</v>
      </c>
      <c r="T44" s="144">
        <f t="shared" si="8"/>
        <v>22.234702990820892</v>
      </c>
      <c r="U44" s="145">
        <f t="shared" si="12"/>
        <v>-69.687960612455669</v>
      </c>
      <c r="V44" s="143">
        <f t="shared" si="9"/>
        <v>-58.393588548615604</v>
      </c>
      <c r="W44" s="143">
        <f t="shared" si="4"/>
        <v>-32.5958953464743</v>
      </c>
      <c r="X44" s="146">
        <f t="shared" si="10"/>
        <v>-63.632085516970889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5">
        <f>'AAA rated'!E38</f>
        <v>1.7692474348560308</v>
      </c>
      <c r="F45" s="195">
        <f t="shared" si="11"/>
        <v>1.8524399998170296</v>
      </c>
      <c r="G45" s="138">
        <f t="shared" si="5"/>
        <v>0.54796485469937128</v>
      </c>
      <c r="H45" s="115">
        <f>PRODUCT($D$12:D45)</f>
        <v>0.82182462496197961</v>
      </c>
      <c r="I45" s="115">
        <f t="shared" si="14"/>
        <v>0.45033101120565644</v>
      </c>
      <c r="J45" s="139">
        <f>$C$6*SUM(I44:$I$50)/(G44*H44)</f>
        <v>395.85234042680122</v>
      </c>
      <c r="K45" s="140">
        <f t="shared" si="13"/>
        <v>1.6104739528256751E-2</v>
      </c>
      <c r="L45" s="115">
        <f t="shared" si="15"/>
        <v>8.8248312555724313E-3</v>
      </c>
      <c r="M45" s="141">
        <f>$C$3*SUM(L44:$L$51)/(G44*H44)</f>
        <v>1635.2797423659651</v>
      </c>
      <c r="N45" s="141">
        <f t="shared" si="6"/>
        <v>1239.4274019391639</v>
      </c>
      <c r="O45" s="144">
        <v>0</v>
      </c>
      <c r="P45" s="143">
        <f t="shared" si="1"/>
        <v>161.04739528256749</v>
      </c>
      <c r="Q45" s="144">
        <f t="shared" si="2"/>
        <v>3.8444628078863032</v>
      </c>
      <c r="R45" s="144">
        <f t="shared" si="3"/>
        <v>2.478854803878328</v>
      </c>
      <c r="S45" s="144">
        <f t="shared" si="7"/>
        <v>63.608529184818529</v>
      </c>
      <c r="T45" s="144">
        <f t="shared" si="8"/>
        <v>21.037516766495408</v>
      </c>
      <c r="U45" s="145">
        <f t="shared" si="12"/>
        <v>-82.724666943018192</v>
      </c>
      <c r="V45" s="143">
        <f t="shared" si="9"/>
        <v>-67.985168385550594</v>
      </c>
      <c r="W45" s="143">
        <f t="shared" si="4"/>
        <v>-37.253482916100523</v>
      </c>
      <c r="X45" s="146">
        <f t="shared" si="10"/>
        <v>-74.277248163301238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5">
        <f>'AAA rated'!E39</f>
        <v>1.771624365286401</v>
      </c>
      <c r="F46" s="195">
        <f t="shared" si="11"/>
        <v>1.8524399999189924</v>
      </c>
      <c r="G46" s="138">
        <f t="shared" si="5"/>
        <v>0.53790757468189987</v>
      </c>
      <c r="H46" s="115">
        <f>PRODUCT($D$12:D46)</f>
        <v>0.8049872230623708</v>
      </c>
      <c r="I46" s="115">
        <f t="shared" si="14"/>
        <v>0.43300872480739744</v>
      </c>
      <c r="J46" s="139">
        <f>$C$6*SUM(I45:$I$50)/(G45*H45)</f>
        <v>345.08827583462346</v>
      </c>
      <c r="K46" s="140">
        <f t="shared" si="13"/>
        <v>1.6837401899608806E-2</v>
      </c>
      <c r="L46" s="115">
        <f t="shared" si="15"/>
        <v>9.056966019762986E-3</v>
      </c>
      <c r="M46" s="141">
        <f>$C$3*SUM(L45:$L$51)/(G45*H45)</f>
        <v>1513.5852781080091</v>
      </c>
      <c r="N46" s="141">
        <f t="shared" si="6"/>
        <v>1168.4970022733855</v>
      </c>
      <c r="O46" s="144">
        <v>0</v>
      </c>
      <c r="P46" s="143">
        <f t="shared" si="1"/>
        <v>168.37401899608807</v>
      </c>
      <c r="Q46" s="144">
        <f t="shared" si="2"/>
        <v>3.9213520640440289</v>
      </c>
      <c r="R46" s="144">
        <f t="shared" si="3"/>
        <v>2.3369940045467712</v>
      </c>
      <c r="S46" s="144">
        <f t="shared" si="7"/>
        <v>63.608529184818529</v>
      </c>
      <c r="T46" s="144">
        <f t="shared" si="8"/>
        <v>19.589055922683585</v>
      </c>
      <c r="U46" s="145">
        <f t="shared" si="12"/>
        <v>-91.434779957176758</v>
      </c>
      <c r="V46" s="143">
        <f t="shared" si="9"/>
        <v>-73.603829609046642</v>
      </c>
      <c r="W46" s="143">
        <f t="shared" si="4"/>
        <v>-39.592057472302088</v>
      </c>
      <c r="X46" s="146">
        <f t="shared" si="10"/>
        <v>-80.625547240083819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5">
        <f>'AAA rated'!E40</f>
        <v>1.7738692440274511</v>
      </c>
      <c r="F47" s="195">
        <f t="shared" si="11"/>
        <v>1.8524399999642043</v>
      </c>
      <c r="G47" s="138">
        <f t="shared" si="5"/>
        <v>0.52803488475328464</v>
      </c>
      <c r="H47" s="115">
        <f>PRODUCT($D$12:D47)</f>
        <v>0.78745298475606429</v>
      </c>
      <c r="I47" s="115">
        <f t="shared" si="14"/>
        <v>0.4158026460542984</v>
      </c>
      <c r="J47" s="139">
        <f>$C$6*SUM(I46:$I$50)/(G46*H46)</f>
        <v>292.74019593739405</v>
      </c>
      <c r="K47" s="140">
        <f t="shared" si="13"/>
        <v>1.7534238306306515E-2</v>
      </c>
      <c r="L47" s="115">
        <f t="shared" si="15"/>
        <v>9.2586895033071898E-3</v>
      </c>
      <c r="M47" s="141">
        <f>$C$3*SUM(L46:$L$51)/(G46*H46)</f>
        <v>1370.3328415485851</v>
      </c>
      <c r="N47" s="141">
        <f t="shared" si="6"/>
        <v>1077.5926456111911</v>
      </c>
      <c r="O47" s="144">
        <v>0</v>
      </c>
      <c r="P47" s="143">
        <f t="shared" si="1"/>
        <v>175.34238306306514</v>
      </c>
      <c r="Q47" s="144">
        <f t="shared" si="2"/>
        <v>3.9997791053249094</v>
      </c>
      <c r="R47" s="144">
        <f t="shared" si="3"/>
        <v>2.1551852912223821</v>
      </c>
      <c r="S47" s="144">
        <f t="shared" si="7"/>
        <v>63.608529184818529</v>
      </c>
      <c r="T47" s="144">
        <f t="shared" si="8"/>
        <v>17.777937578766821</v>
      </c>
      <c r="U47" s="178">
        <f t="shared" si="12"/>
        <v>-100.11088069602708</v>
      </c>
      <c r="V47" s="154">
        <f t="shared" si="9"/>
        <v>-78.832611810644778</v>
      </c>
      <c r="W47" s="154">
        <f t="shared" si="4"/>
        <v>-41.626369092234242</v>
      </c>
      <c r="X47" s="146">
        <f t="shared" si="10"/>
        <v>-86.578252489047486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5">
        <f>'AAA rated'!E41</f>
        <v>1.775992777972228</v>
      </c>
      <c r="F48" s="195">
        <f t="shared" si="11"/>
        <v>1.8524399999841989</v>
      </c>
      <c r="G48" s="138">
        <f t="shared" si="5"/>
        <v>0.51834339696971909</v>
      </c>
      <c r="H48" s="115">
        <f>PRODUCT($D$12:D48)</f>
        <v>0.76906958583212903</v>
      </c>
      <c r="I48" s="115">
        <f>H48*G48</f>
        <v>0.39864214162632072</v>
      </c>
      <c r="J48" s="139">
        <f>$C$6*SUM(I47:$I$50)/(G47*H47)</f>
        <v>238.61322619041235</v>
      </c>
      <c r="K48" s="140">
        <f>H47-H48</f>
        <v>1.8383398923935257E-2</v>
      </c>
      <c r="L48" s="115">
        <f>K48*G48</f>
        <v>9.5289134460820792E-3</v>
      </c>
      <c r="M48" s="141">
        <f>$C$3*SUM(L47:$L$51)/(G47*H47)</f>
        <v>1209.2188947190148</v>
      </c>
      <c r="N48" s="141">
        <f>M48-J48</f>
        <v>970.60566852860245</v>
      </c>
      <c r="O48" s="144">
        <v>0</v>
      </c>
      <c r="P48" s="154">
        <f t="shared" si="1"/>
        <v>183.83398923935258</v>
      </c>
      <c r="Q48" s="144">
        <f t="shared" si="2"/>
        <v>4.0797746874314074</v>
      </c>
      <c r="R48" s="144">
        <f t="shared" si="3"/>
        <v>1.9412113370572048</v>
      </c>
      <c r="S48" s="144">
        <f t="shared" si="7"/>
        <v>63.608529184818529</v>
      </c>
      <c r="T48" s="144">
        <f t="shared" si="8"/>
        <v>15.641247980211581</v>
      </c>
      <c r="U48" s="178">
        <f t="shared" si="12"/>
        <v>-110.60519809881109</v>
      </c>
      <c r="V48" s="154">
        <f t="shared" si="9"/>
        <v>-85.063093892733235</v>
      </c>
      <c r="W48" s="154">
        <f t="shared" si="4"/>
        <v>-44.091893045113508</v>
      </c>
      <c r="X48" s="146">
        <f t="shared" si="10"/>
        <v>-93.664433563390418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5">
        <f>'AAA rated'!E42</f>
        <v>1.7780045469727752</v>
      </c>
      <c r="F49" s="195">
        <f>B49*E49-B48*E48</f>
        <v>1.8524399999930239</v>
      </c>
      <c r="G49" s="138">
        <f t="shared" si="5"/>
        <v>0.50882978556922476</v>
      </c>
      <c r="H49" s="115">
        <f>PRODUCT($D$12:D49)</f>
        <v>0.74962933870011328</v>
      </c>
      <c r="I49" s="115">
        <f t="shared" ref="I49:I51" si="16">H49*G49</f>
        <v>0.38143373566717842</v>
      </c>
      <c r="J49" s="139">
        <f>$C$6*SUM(I48:$I$50)/(G48*H48)</f>
        <v>182.53819275099974</v>
      </c>
      <c r="K49" s="140">
        <f t="shared" ref="K49:K51" si="17">H48-H49</f>
        <v>1.9440247132015753E-2</v>
      </c>
      <c r="L49" s="115">
        <f>K49*G49</f>
        <v>9.8917767795963125E-3</v>
      </c>
      <c r="M49" s="141">
        <f>$C$3*SUM(L48:$L$51)/(G48*H48)</f>
        <v>1029.0169508332383</v>
      </c>
      <c r="N49" s="141">
        <f t="shared" ref="N49:N52" si="18">M49-J49</f>
        <v>846.47875808223853</v>
      </c>
      <c r="O49" s="144">
        <v>0</v>
      </c>
      <c r="P49" s="154">
        <f t="shared" si="1"/>
        <v>194.40247132015753</v>
      </c>
      <c r="Q49" s="144">
        <f t="shared" si="2"/>
        <v>4.1613701811800361</v>
      </c>
      <c r="R49" s="144">
        <f t="shared" si="3"/>
        <v>1.692957516164477</v>
      </c>
      <c r="S49" s="144">
        <f t="shared" si="7"/>
        <v>63.608529184818529</v>
      </c>
      <c r="T49" s="144">
        <f t="shared" si="8"/>
        <v>13.14918389648054</v>
      </c>
      <c r="U49" s="178">
        <f t="shared" si="12"/>
        <v>-123.49908593620297</v>
      </c>
      <c r="V49" s="154">
        <f t="shared" si="9"/>
        <v>-92.578538120424298</v>
      </c>
      <c r="W49" s="154">
        <f t="shared" si="4"/>
        <v>-47.106717700127795</v>
      </c>
      <c r="X49" s="146">
        <f t="shared" si="10"/>
        <v>-102.20555271018669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5">
        <f>'AAA rated'!E43</f>
        <v>1.7799131483323691</v>
      </c>
      <c r="F50" s="195">
        <f t="shared" si="11"/>
        <v>1.8524399999969319</v>
      </c>
      <c r="G50" s="138">
        <f t="shared" si="5"/>
        <v>0.49949078583041739</v>
      </c>
      <c r="H50" s="171">
        <f>PRODUCT($D$12:D50)</f>
        <v>0.72856693040883636</v>
      </c>
      <c r="I50" s="115">
        <f t="shared" si="16"/>
        <v>0.36391246859996468</v>
      </c>
      <c r="J50" s="139">
        <f>$C$6*SUM(I49:$I$50)/(G49*H49)</f>
        <v>124.29518250134122</v>
      </c>
      <c r="K50" s="140">
        <f t="shared" si="17"/>
        <v>2.1062408291276924E-2</v>
      </c>
      <c r="L50" s="115">
        <f>K50*G50</f>
        <v>1.0520478868891009E-2</v>
      </c>
      <c r="M50" s="141">
        <f>$C$3*SUM(L49:$L$51)/(G49*H49)</f>
        <v>825.62279405698075</v>
      </c>
      <c r="N50" s="141">
        <f t="shared" si="18"/>
        <v>701.32761155563958</v>
      </c>
      <c r="O50" s="144">
        <v>0</v>
      </c>
      <c r="P50" s="154">
        <f t="shared" si="1"/>
        <v>210.62408291276924</v>
      </c>
      <c r="Q50" s="144">
        <f t="shared" si="2"/>
        <v>4.2445975848036372</v>
      </c>
      <c r="R50" s="144">
        <f t="shared" si="3"/>
        <v>1.4026552231112792</v>
      </c>
      <c r="S50" s="144">
        <f t="shared" si="7"/>
        <v>63.608529184818529</v>
      </c>
      <c r="T50" s="144">
        <f t="shared" si="8"/>
        <v>10.163686314091466</v>
      </c>
      <c r="U50" s="178">
        <f t="shared" si="12"/>
        <v>-142.49912022177415</v>
      </c>
      <c r="V50" s="154">
        <f t="shared" si="9"/>
        <v>-103.82014660593774</v>
      </c>
      <c r="W50" s="154">
        <f t="shared" si="4"/>
        <v>-51.857206613228982</v>
      </c>
      <c r="X50" s="146">
        <f t="shared" si="10"/>
        <v>-114.91492723724707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5">
        <f>'AAA rated'!E44</f>
        <v>1.7817263196240263</v>
      </c>
      <c r="F51" s="195">
        <f t="shared" si="11"/>
        <v>1.8524399999986514</v>
      </c>
      <c r="G51" s="138">
        <f t="shared" si="5"/>
        <v>0.4903231929521964</v>
      </c>
      <c r="H51" s="171">
        <f>PRODUCT($D$12:D51)</f>
        <v>0.70597003275095693</v>
      </c>
      <c r="I51" s="115">
        <f t="shared" si="16"/>
        <v>0.34615348058701584</v>
      </c>
      <c r="J51" s="139">
        <f>$C$6*SUM(I50:$I$50)/(G50*H50)</f>
        <v>63.608529184818529</v>
      </c>
      <c r="K51" s="140">
        <f t="shared" si="17"/>
        <v>2.2596897657879422E-2</v>
      </c>
      <c r="L51" s="115">
        <f t="shared" ref="L51" si="19">K51*G51</f>
        <v>1.1079783010425446E-2</v>
      </c>
      <c r="M51" s="141">
        <f>$C$3*SUM(L50:$L$51)/(G50*H50)</f>
        <v>593.55652095176799</v>
      </c>
      <c r="N51" s="141">
        <f t="shared" si="18"/>
        <v>529.94799176694949</v>
      </c>
      <c r="O51" s="144">
        <v>0</v>
      </c>
      <c r="P51" s="154">
        <f t="shared" si="1"/>
        <v>225.96897657879421</v>
      </c>
      <c r="Q51" s="144">
        <f t="shared" si="2"/>
        <v>4.3294895364997084</v>
      </c>
      <c r="R51" s="144">
        <f>$C$7*N51</f>
        <v>1.059895983533899</v>
      </c>
      <c r="S51" s="144">
        <f t="shared" si="7"/>
        <v>63.608529184818529</v>
      </c>
      <c r="T51" s="144">
        <f t="shared" si="8"/>
        <v>6.7095035738505189</v>
      </c>
      <c r="U51" s="178">
        <f t="shared" si="12"/>
        <v>-161.04032934015879</v>
      </c>
      <c r="V51" s="154">
        <f t="shared" si="9"/>
        <v>-113.68964657849679</v>
      </c>
      <c r="W51" s="154">
        <f t="shared" si="4"/>
        <v>-55.744670515975294</v>
      </c>
      <c r="X51" s="146">
        <f t="shared" si="10"/>
        <v>-126.16716983162074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v>0</v>
      </c>
      <c r="N52" s="141">
        <f t="shared" si="18"/>
        <v>0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10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191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191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D12" activePane="bottomRight" state="frozen"/>
      <selection pane="topRight" activeCell="C1" sqref="C1"/>
      <selection pane="bottomLeft" activeCell="A9" sqref="A9"/>
      <selection pane="bottomRight" activeCell="F4" sqref="F4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59</v>
      </c>
      <c r="D1" s="162"/>
    </row>
    <row r="2" spans="1:37" ht="36.75" customHeight="1" thickBot="1" x14ac:dyDescent="0.3">
      <c r="A2" s="163" t="s">
        <v>62</v>
      </c>
      <c r="B2" s="86"/>
      <c r="C2" s="88">
        <f>'Smith-Wilson'!$H$4</f>
        <v>1417.251339573409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92" t="s">
        <v>37</v>
      </c>
      <c r="X3" s="98">
        <f>W11/C2</f>
        <v>0.2029196536211976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60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0.32134234861185718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115</v>
      </c>
      <c r="B6" s="113"/>
      <c r="C6" s="114">
        <f>'Smith-Wilson'!J4</f>
        <v>57.982311630538661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192"/>
      <c r="S6" s="247" t="s">
        <v>41</v>
      </c>
      <c r="T6" s="247"/>
      <c r="U6" s="91"/>
      <c r="V6" s="91"/>
      <c r="W6" s="109" t="s">
        <v>83</v>
      </c>
      <c r="X6" s="98">
        <f>-0.0031</f>
        <v>-3.0999999999999999E-3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122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131">
        <f>SUM(W12:W51)</f>
        <v>287.58815092041448</v>
      </c>
      <c r="X11" s="132">
        <f>SUM(X12:X51)</f>
        <v>0.86499017862402638</v>
      </c>
      <c r="Y11" s="193">
        <f>NPV(X5,V12:V51)</f>
        <v>6.7492496682008125E-11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4">
        <f>'Smith-Wilson'!E4</f>
        <v>1.895</v>
      </c>
      <c r="F12" s="194">
        <f>E12</f>
        <v>1.895</v>
      </c>
      <c r="G12" s="138">
        <f>(1+E12/100)^(-B12)</f>
        <v>0.98140242406398737</v>
      </c>
      <c r="H12" s="115">
        <f>PRODUCT($D$12:D12)</f>
        <v>0.99917201979718562</v>
      </c>
      <c r="I12" s="115">
        <f>H12*G12</f>
        <v>0.98058984228586832</v>
      </c>
      <c r="J12" s="139">
        <v>0</v>
      </c>
      <c r="K12" s="115">
        <f>C12</f>
        <v>8.279802028143497E-4</v>
      </c>
      <c r="L12" s="115">
        <f>K12*G12</f>
        <v>8.1258177811899474E-4</v>
      </c>
      <c r="M12" s="141">
        <v>0</v>
      </c>
      <c r="N12" s="141">
        <f>M12-J12</f>
        <v>0</v>
      </c>
      <c r="O12" s="142">
        <f>C4</f>
        <v>200</v>
      </c>
      <c r="P12" s="143">
        <f t="shared" ref="P12:P51" si="1">K12*$C$3</f>
        <v>8.2798020281434965</v>
      </c>
      <c r="Q12" s="144">
        <f t="shared" ref="Q12:Q51" si="2">$C$8*(1+$C$5)^(B12-1)</f>
        <v>2</v>
      </c>
      <c r="R12" s="144">
        <f t="shared" ref="R12:R50" si="3">$C$7*N12</f>
        <v>0</v>
      </c>
      <c r="S12" s="144">
        <f>$C$6</f>
        <v>57.982311630538661</v>
      </c>
      <c r="T12" s="144">
        <f>F12/100*(N12+S12-O12-Q12-P12-R12)</f>
        <v>-2.8860374430346116</v>
      </c>
      <c r="U12" s="145">
        <f>S12+T12-O12-Q12-R12-P12</f>
        <v>-155.18352784063947</v>
      </c>
      <c r="V12" s="143">
        <f t="shared" ref="V12:V51" si="4">U12*H12</f>
        <v>-155.05503895178452</v>
      </c>
      <c r="W12" s="143">
        <f t="shared" ref="W12:W51" si="5">V12*G12</f>
        <v>-152.17139109061731</v>
      </c>
      <c r="X12" s="3">
        <f>V12*(1+$X$6)^(-B12)</f>
        <v>-155.53720428506821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4">
        <f>'Smith-Wilson'!E5</f>
        <v>2.2349999999999999</v>
      </c>
      <c r="F13" s="194">
        <f>B13*E13-B12*E12</f>
        <v>2.5749999999999997</v>
      </c>
      <c r="G13" s="138">
        <f t="shared" ref="G13:G51" si="6">(1+E13/100)^(-B13)</f>
        <v>0.95675512519189831</v>
      </c>
      <c r="H13" s="115">
        <f>PRODUCT($D$12:D13)</f>
        <v>0.99823320922948466</v>
      </c>
      <c r="I13" s="115">
        <f>H13*G13</f>
        <v>0.95506473906706602</v>
      </c>
      <c r="J13" s="139">
        <f>$C$6*SUM(I12:$I$50)/(G12*H12)</f>
        <v>1386.1749013983842</v>
      </c>
      <c r="K13" s="140">
        <f>H12-H13</f>
        <v>9.3881056770095395E-4</v>
      </c>
      <c r="L13" s="115">
        <f>K13*G13</f>
        <v>8.9821182223220333E-4</v>
      </c>
      <c r="M13" s="141">
        <f>$C$3*SUM(L12:$L$51)/(G12*H12)</f>
        <v>1445.3049363326386</v>
      </c>
      <c r="N13" s="141">
        <f t="shared" ref="N13:N47" si="7">M13-J13</f>
        <v>59.130034934254354</v>
      </c>
      <c r="O13" s="144">
        <v>0</v>
      </c>
      <c r="P13" s="143">
        <f t="shared" si="1"/>
        <v>9.3881056770095395</v>
      </c>
      <c r="Q13" s="144">
        <f t="shared" si="2"/>
        <v>2.04</v>
      </c>
      <c r="R13" s="144">
        <f t="shared" si="3"/>
        <v>0.1182600698685087</v>
      </c>
      <c r="S13" s="144">
        <f t="shared" ref="S13:S51" si="8">$C$6</f>
        <v>57.982311630538661</v>
      </c>
      <c r="T13" s="144">
        <f t="shared" ref="T13:T51" si="9">F13/100*(N13+S13-O13-Q13-P13-R13)</f>
        <v>2.7183240060613101</v>
      </c>
      <c r="U13" s="145">
        <f>S13+T13-O13-Q13-R13-P13</f>
        <v>49.154269889721917</v>
      </c>
      <c r="V13" s="143">
        <f t="shared" si="4"/>
        <v>49.067424579349336</v>
      </c>
      <c r="W13" s="143">
        <f t="shared" si="5"/>
        <v>46.945509946259399</v>
      </c>
      <c r="X13" s="3">
        <f t="shared" ref="X13:X52" si="10">V13*(1+$X$6)^(-B13)</f>
        <v>49.373063095404497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4">
        <f>'Smith-Wilson'!E6</f>
        <v>2.2650000000000001</v>
      </c>
      <c r="F14" s="194">
        <f t="shared" ref="F14:F51" si="11">B14*E14-B13*E13</f>
        <v>2.3250000000000002</v>
      </c>
      <c r="G14" s="138">
        <f t="shared" si="6"/>
        <v>0.93501576177130874</v>
      </c>
      <c r="H14" s="115">
        <f>PRODUCT($D$12:D14)</f>
        <v>0.99720309581120525</v>
      </c>
      <c r="I14" s="115">
        <f>H14*G14</f>
        <v>0.93240061227062143</v>
      </c>
      <c r="J14" s="139">
        <f>$C$6*SUM(I13:$I$50)/(G13*H13)</f>
        <v>1363.6899247248341</v>
      </c>
      <c r="K14" s="140">
        <f>H13-H14</f>
        <v>1.0301134182794103E-3</v>
      </c>
      <c r="L14" s="115">
        <f>K14*G14</f>
        <v>9.6317228250336964E-4</v>
      </c>
      <c r="M14" s="141">
        <f>$C$3*SUM(L13:$L$51)/(G13*H13)</f>
        <v>1475.424088181386</v>
      </c>
      <c r="N14" s="141">
        <f t="shared" si="7"/>
        <v>111.73416345655187</v>
      </c>
      <c r="O14" s="144">
        <v>0</v>
      </c>
      <c r="P14" s="143">
        <f t="shared" si="1"/>
        <v>10.301134182794103</v>
      </c>
      <c r="Q14" s="144">
        <f t="shared" si="2"/>
        <v>2.0808</v>
      </c>
      <c r="R14" s="144">
        <f t="shared" si="3"/>
        <v>0.22346832691310375</v>
      </c>
      <c r="S14" s="144">
        <f t="shared" si="8"/>
        <v>57.982311630538661</v>
      </c>
      <c r="T14" s="144">
        <f t="shared" si="9"/>
        <v>3.6528324374241632</v>
      </c>
      <c r="U14" s="145">
        <f t="shared" ref="U14:U51" si="12">S14+T14-O14-Q14-R14-P14</f>
        <v>49.029741558255623</v>
      </c>
      <c r="V14" s="143">
        <f t="shared" si="4"/>
        <v>48.892610068715811</v>
      </c>
      <c r="W14" s="143">
        <f t="shared" si="5"/>
        <v>45.715361048387877</v>
      </c>
      <c r="X14" s="3">
        <f t="shared" si="10"/>
        <v>49.3501451238741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4">
        <f>'Smith-Wilson'!E7</f>
        <v>2.2919999999999998</v>
      </c>
      <c r="F15" s="194">
        <f t="shared" si="11"/>
        <v>2.3729999999999993</v>
      </c>
      <c r="G15" s="138">
        <f t="shared" si="6"/>
        <v>0.91334177083315038</v>
      </c>
      <c r="H15" s="115">
        <f>PRODUCT($D$12:D15)</f>
        <v>0.99615955299866155</v>
      </c>
      <c r="I15" s="115">
        <f>H15*G15</f>
        <v>0.90983413016815706</v>
      </c>
      <c r="J15" s="139">
        <f>$C$6*SUM(I14:$I$50)/(G14*H14)</f>
        <v>1337.4458193039488</v>
      </c>
      <c r="K15" s="140">
        <f t="shared" ref="K15:K47" si="13">H14-H15</f>
        <v>1.0435428125437074E-3</v>
      </c>
      <c r="L15" s="115">
        <f>K15*G15</f>
        <v>9.5311124034887598E-4</v>
      </c>
      <c r="M15" s="141">
        <f>$C$3*SUM(L14:$L$51)/(G14*H14)</f>
        <v>1501.6543159063447</v>
      </c>
      <c r="N15" s="141">
        <f t="shared" si="7"/>
        <v>164.20849660239583</v>
      </c>
      <c r="O15" s="144">
        <v>0</v>
      </c>
      <c r="P15" s="143">
        <f t="shared" si="1"/>
        <v>10.435428125437074</v>
      </c>
      <c r="Q15" s="144">
        <f t="shared" si="2"/>
        <v>2.1224159999999999</v>
      </c>
      <c r="R15" s="144">
        <f t="shared" si="3"/>
        <v>0.32841699320479167</v>
      </c>
      <c r="S15" s="144">
        <f t="shared" si="8"/>
        <v>57.982311630538661</v>
      </c>
      <c r="T15" s="144">
        <f t="shared" si="9"/>
        <v>4.9667969030221633</v>
      </c>
      <c r="U15" s="145">
        <f t="shared" si="12"/>
        <v>50.062847414918963</v>
      </c>
      <c r="V15" s="143">
        <f t="shared" si="4"/>
        <v>49.87058370268587</v>
      </c>
      <c r="W15" s="143">
        <f t="shared" si="5"/>
        <v>45.548887231493964</v>
      </c>
      <c r="X15" s="3">
        <f t="shared" si="10"/>
        <v>50.493801379585321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4">
        <f>'Smith-Wilson'!E8</f>
        <v>2.323</v>
      </c>
      <c r="F16" s="194">
        <f t="shared" si="11"/>
        <v>2.447000000000001</v>
      </c>
      <c r="G16" s="138">
        <f t="shared" si="6"/>
        <v>0.89152530871603453</v>
      </c>
      <c r="H16" s="115">
        <f>PRODUCT($D$12:D16)</f>
        <v>0.99513503894949118</v>
      </c>
      <c r="I16" s="115">
        <f t="shared" ref="I16:I47" si="14">H16*G16</f>
        <v>0.88718807281358814</v>
      </c>
      <c r="J16" s="139">
        <f>$C$6*SUM(I15:$I$50)/(G15*H15)</f>
        <v>1311.197852857111</v>
      </c>
      <c r="K16" s="140">
        <f t="shared" si="13"/>
        <v>1.0245140491703664E-3</v>
      </c>
      <c r="L16" s="115">
        <f t="shared" ref="L16:L47" si="15">K16*G16</f>
        <v>9.1338020397052546E-4</v>
      </c>
      <c r="M16" s="141">
        <f>$C$3*SUM(L15:$L$51)/(G15*H15)</f>
        <v>1528.3133866256112</v>
      </c>
      <c r="N16" s="141">
        <f t="shared" si="7"/>
        <v>217.1155337685002</v>
      </c>
      <c r="O16" s="144">
        <v>0</v>
      </c>
      <c r="P16" s="143">
        <f t="shared" si="1"/>
        <v>10.245140491703664</v>
      </c>
      <c r="Q16" s="144">
        <f t="shared" si="2"/>
        <v>2.16486432</v>
      </c>
      <c r="R16" s="144">
        <f t="shared" si="3"/>
        <v>0.43423106753700041</v>
      </c>
      <c r="S16" s="144">
        <f t="shared" si="8"/>
        <v>57.982311630538661</v>
      </c>
      <c r="T16" s="144">
        <f t="shared" si="9"/>
        <v>6.4173458249494661</v>
      </c>
      <c r="U16" s="145">
        <f t="shared" si="12"/>
        <v>51.555421576247461</v>
      </c>
      <c r="V16" s="143">
        <f t="shared" si="4"/>
        <v>51.304606458336458</v>
      </c>
      <c r="W16" s="143">
        <f t="shared" si="5"/>
        <v>45.739355111323071</v>
      </c>
      <c r="X16" s="3">
        <f t="shared" si="10"/>
        <v>52.107277245531705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4">
        <f>'Smith-Wilson'!E9</f>
        <v>2.351</v>
      </c>
      <c r="F17" s="194">
        <f t="shared" si="11"/>
        <v>2.4909999999999997</v>
      </c>
      <c r="G17" s="138">
        <f t="shared" si="6"/>
        <v>0.86985619090845567</v>
      </c>
      <c r="H17" s="115">
        <f>PRODUCT($D$12:D17)</f>
        <v>0.99406934438051142</v>
      </c>
      <c r="I17" s="115">
        <f>H17*G17</f>
        <v>0.8646973734016975</v>
      </c>
      <c r="J17" s="139">
        <f>$C$6*SUM(I16:$I$50)/(G16*H16)</f>
        <v>1285.2046897441462</v>
      </c>
      <c r="K17" s="140">
        <f t="shared" si="13"/>
        <v>1.0656945689797581E-3</v>
      </c>
      <c r="L17" s="115">
        <f t="shared" si="15"/>
        <v>9.2700101844456087E-4</v>
      </c>
      <c r="M17" s="141">
        <f>$C$3*SUM(L16:$L$51)/(G16*H16)</f>
        <v>1556.5815306350944</v>
      </c>
      <c r="N17" s="141">
        <f t="shared" si="7"/>
        <v>271.37684089094819</v>
      </c>
      <c r="O17" s="144">
        <v>0</v>
      </c>
      <c r="P17" s="143">
        <f t="shared" si="1"/>
        <v>10.656945689797581</v>
      </c>
      <c r="Q17" s="144">
        <f t="shared" si="2"/>
        <v>2.2081616064</v>
      </c>
      <c r="R17" s="144">
        <f t="shared" si="3"/>
        <v>0.54275368178189642</v>
      </c>
      <c r="S17" s="144">
        <f t="shared" si="8"/>
        <v>57.982311630538661</v>
      </c>
      <c r="T17" s="144">
        <f t="shared" si="9"/>
        <v>7.8703466723487692</v>
      </c>
      <c r="U17" s="145">
        <f t="shared" si="12"/>
        <v>52.44479732490796</v>
      </c>
      <c r="V17" s="143">
        <f t="shared" si="4"/>
        <v>52.133765292940055</v>
      </c>
      <c r="W17" s="143">
        <f t="shared" si="5"/>
        <v>45.348878495432288</v>
      </c>
      <c r="X17" s="3">
        <f t="shared" si="10"/>
        <v>53.114062027544819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4">
        <f>'Smith-Wilson'!E10</f>
        <v>2.3769999999999998</v>
      </c>
      <c r="F18" s="194">
        <f t="shared" si="11"/>
        <v>2.5329999999999995</v>
      </c>
      <c r="G18" s="138">
        <f t="shared" si="6"/>
        <v>0.84836590535103229</v>
      </c>
      <c r="H18" s="115">
        <f>PRODUCT($D$12:D18)</f>
        <v>0.99284921734070164</v>
      </c>
      <c r="I18" s="115">
        <f t="shared" si="14"/>
        <v>0.84229942514630818</v>
      </c>
      <c r="J18" s="139">
        <f>$C$6*SUM(I17:$I$50)/(G17*H17)</f>
        <v>1259.1423196639291</v>
      </c>
      <c r="K18" s="140">
        <f t="shared" si="13"/>
        <v>1.2201270398097819E-3</v>
      </c>
      <c r="L18" s="115">
        <f t="shared" si="15"/>
        <v>1.0351141807715006E-3</v>
      </c>
      <c r="M18" s="141">
        <f>$C$3*SUM(L17:$L$51)/(G17*H17)</f>
        <v>1586.5050692878356</v>
      </c>
      <c r="N18" s="141">
        <f t="shared" si="7"/>
        <v>327.36274962390644</v>
      </c>
      <c r="O18" s="144">
        <v>0</v>
      </c>
      <c r="P18" s="143">
        <f t="shared" si="1"/>
        <v>12.201270398097819</v>
      </c>
      <c r="Q18" s="144">
        <f t="shared" si="2"/>
        <v>2.2523248385280001</v>
      </c>
      <c r="R18" s="144">
        <f t="shared" si="3"/>
        <v>0.65472549924781287</v>
      </c>
      <c r="S18" s="144">
        <f t="shared" si="8"/>
        <v>57.982311630538661</v>
      </c>
      <c r="T18" s="144">
        <f t="shared" si="9"/>
        <v>9.378096637335414</v>
      </c>
      <c r="U18" s="145">
        <f t="shared" si="12"/>
        <v>52.252087532000445</v>
      </c>
      <c r="V18" s="143">
        <f t="shared" si="4"/>
        <v>51.878444210564474</v>
      </c>
      <c r="W18" s="143">
        <f t="shared" si="5"/>
        <v>44.011903290898552</v>
      </c>
      <c r="X18" s="3">
        <f t="shared" si="10"/>
        <v>53.018296737635417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4">
        <f>'Smith-Wilson'!E11</f>
        <v>2.411</v>
      </c>
      <c r="F19" s="194">
        <f t="shared" si="11"/>
        <v>2.6490000000000009</v>
      </c>
      <c r="G19" s="138">
        <f t="shared" si="6"/>
        <v>0.82647009771891766</v>
      </c>
      <c r="H19" s="115">
        <f>PRODUCT($D$12:D19)</f>
        <v>0.99144316150046929</v>
      </c>
      <c r="I19" s="115">
        <f t="shared" si="14"/>
        <v>0.81939812656804556</v>
      </c>
      <c r="J19" s="139">
        <f>$C$6*SUM(I18:$I$50)/(G18*H18)</f>
        <v>1233.1005732328761</v>
      </c>
      <c r="K19" s="140">
        <f t="shared" si="13"/>
        <v>1.4060558402323453E-3</v>
      </c>
      <c r="L19" s="115">
        <f>K19*G19</f>
        <v>1.1620631076750814E-3</v>
      </c>
      <c r="M19" s="141">
        <f>$C$3*SUM(L18:$L$51)/(G18*H18)</f>
        <v>1617.6869120865692</v>
      </c>
      <c r="N19" s="141">
        <f t="shared" si="7"/>
        <v>384.58633885369318</v>
      </c>
      <c r="O19" s="144">
        <v>0</v>
      </c>
      <c r="P19" s="143">
        <f t="shared" si="1"/>
        <v>14.060558402323453</v>
      </c>
      <c r="Q19" s="144">
        <f t="shared" si="2"/>
        <v>2.2973713352985596</v>
      </c>
      <c r="R19" s="144">
        <f t="shared" si="3"/>
        <v>0.7691726777073864</v>
      </c>
      <c r="S19" s="144">
        <f t="shared" si="8"/>
        <v>57.982311630538661</v>
      </c>
      <c r="T19" s="144">
        <f t="shared" si="9"/>
        <v>11.269946608345229</v>
      </c>
      <c r="U19" s="145">
        <f t="shared" si="12"/>
        <v>52.125155823554479</v>
      </c>
      <c r="V19" s="143">
        <f t="shared" si="4"/>
        <v>51.679129283409452</v>
      </c>
      <c r="W19" s="143">
        <f t="shared" si="5"/>
        <v>42.71125502888799</v>
      </c>
      <c r="X19" s="3">
        <f t="shared" si="10"/>
        <v>52.978836936737935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4">
        <f>'Smith-Wilson'!E12</f>
        <v>2.4449999999999998</v>
      </c>
      <c r="F20" s="194">
        <f t="shared" si="11"/>
        <v>2.7169999999999987</v>
      </c>
      <c r="G20" s="138">
        <f t="shared" si="6"/>
        <v>0.8046056889981662</v>
      </c>
      <c r="H20" s="115">
        <f>PRODUCT($D$12:D20)</f>
        <v>0.98989429002974061</v>
      </c>
      <c r="I20" s="115">
        <f t="shared" si="14"/>
        <v>0.79647457726473003</v>
      </c>
      <c r="J20" s="139">
        <f>$C$6*SUM(I19:$I$50)/(G19*H19)</f>
        <v>1207.9615563343389</v>
      </c>
      <c r="K20" s="140">
        <f t="shared" si="13"/>
        <v>1.5488714707286855E-3</v>
      </c>
      <c r="L20" s="115">
        <f>K20*G20</f>
        <v>1.2462307968752571E-3</v>
      </c>
      <c r="M20" s="141">
        <f>$C$3*SUM(L19:$L$51)/(G19*H19)</f>
        <v>1650.2669099002576</v>
      </c>
      <c r="N20" s="141">
        <f t="shared" si="7"/>
        <v>442.30535356591872</v>
      </c>
      <c r="O20" s="144">
        <v>0</v>
      </c>
      <c r="P20" s="143">
        <f t="shared" si="1"/>
        <v>15.488714707286855</v>
      </c>
      <c r="Q20" s="144">
        <f t="shared" si="2"/>
        <v>2.343318762004531</v>
      </c>
      <c r="R20" s="144">
        <f t="shared" si="3"/>
        <v>0.88461070713183743</v>
      </c>
      <c r="S20" s="144">
        <f t="shared" si="8"/>
        <v>57.982311630538661</v>
      </c>
      <c r="T20" s="144">
        <f t="shared" si="9"/>
        <v>13.084284641114321</v>
      </c>
      <c r="U20" s="145">
        <f t="shared" si="12"/>
        <v>52.34995209522976</v>
      </c>
      <c r="V20" s="143">
        <f t="shared" si="4"/>
        <v>51.820918662398398</v>
      </c>
      <c r="W20" s="143">
        <f t="shared" si="5"/>
        <v>41.69540596487699</v>
      </c>
      <c r="X20" s="3">
        <f t="shared" si="10"/>
        <v>53.289389364047175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4">
        <f>'Smith-Wilson'!E13</f>
        <v>2.4830000000000001</v>
      </c>
      <c r="F21" s="194">
        <f>B21*E21-B20*E20</f>
        <v>2.8250000000000028</v>
      </c>
      <c r="G21" s="138">
        <f t="shared" si="6"/>
        <v>0.7824952305219991</v>
      </c>
      <c r="H21" s="115">
        <f>PRODUCT($D$12:D21)</f>
        <v>0.98820462254350394</v>
      </c>
      <c r="I21" s="115">
        <f>H21*G21</f>
        <v>0.77326540392008425</v>
      </c>
      <c r="J21" s="139">
        <f>$C$6*SUM(I20:$I$50)/(G20*H20)</f>
        <v>1183.0771070414644</v>
      </c>
      <c r="K21" s="140">
        <f t="shared" si="13"/>
        <v>1.6896674862366678E-3</v>
      </c>
      <c r="L21" s="115">
        <f>K21*G21</f>
        <v>1.3221567491482882E-3</v>
      </c>
      <c r="M21" s="141">
        <f>$C$3*SUM(L20:$L$51)/(G20*H20)</f>
        <v>1683.1736021464644</v>
      </c>
      <c r="N21" s="141">
        <f t="shared" si="7"/>
        <v>500.09649510500003</v>
      </c>
      <c r="O21" s="144">
        <v>0</v>
      </c>
      <c r="P21" s="143">
        <f t="shared" si="1"/>
        <v>16.89667486236668</v>
      </c>
      <c r="Q21" s="144">
        <f t="shared" si="2"/>
        <v>2.3901851372446217</v>
      </c>
      <c r="R21" s="144">
        <f t="shared" si="3"/>
        <v>1.0001929902100002</v>
      </c>
      <c r="S21" s="144">
        <f t="shared" si="8"/>
        <v>57.982311630538661</v>
      </c>
      <c r="T21" s="144">
        <f t="shared" si="9"/>
        <v>15.192617043316529</v>
      </c>
      <c r="U21" s="145">
        <f>S21+T21-O21-Q21-R21-P21</f>
        <v>52.887875684033887</v>
      </c>
      <c r="V21" s="143">
        <f t="shared" si="4"/>
        <v>52.26404322746847</v>
      </c>
      <c r="W21" s="143">
        <f t="shared" si="5"/>
        <v>40.896364553289665</v>
      </c>
      <c r="X21" s="3">
        <f t="shared" si="10"/>
        <v>53.912198748428018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4">
        <f>'Smith-Wilson'!E14</f>
        <v>2.532</v>
      </c>
      <c r="F22" s="194">
        <f t="shared" si="11"/>
        <v>3.0219999999999985</v>
      </c>
      <c r="G22" s="138">
        <f t="shared" si="6"/>
        <v>0.75953236151181847</v>
      </c>
      <c r="H22" s="115">
        <f>PRODUCT($D$12:D22)</f>
        <v>0.98643332382785143</v>
      </c>
      <c r="I22" s="115">
        <f t="shared" si="14"/>
        <v>0.74922803192092036</v>
      </c>
      <c r="J22" s="139">
        <f>$C$6*SUM(I21:$I$50)/(G21*H21)</f>
        <v>1158.8639515162852</v>
      </c>
      <c r="K22" s="140">
        <f t="shared" si="13"/>
        <v>1.771298715652514E-3</v>
      </c>
      <c r="L22" s="115">
        <f t="shared" si="15"/>
        <v>1.3453586964424049E-3</v>
      </c>
      <c r="M22" s="141">
        <f>$C$3*SUM(L21:$L$51)/(G21*H21)</f>
        <v>1717.5767447126948</v>
      </c>
      <c r="N22" s="141">
        <f t="shared" si="7"/>
        <v>558.71279319640962</v>
      </c>
      <c r="O22" s="144">
        <v>0</v>
      </c>
      <c r="P22" s="143">
        <f t="shared" si="1"/>
        <v>17.712987156525138</v>
      </c>
      <c r="Q22" s="144">
        <f t="shared" si="2"/>
        <v>2.4379888399895142</v>
      </c>
      <c r="R22" s="144">
        <f t="shared" si="3"/>
        <v>1.1174255863928193</v>
      </c>
      <c r="S22" s="144">
        <f t="shared" si="8"/>
        <v>57.982311630538661</v>
      </c>
      <c r="T22" s="144">
        <f t="shared" si="9"/>
        <v>17.993794972034902</v>
      </c>
      <c r="U22" s="145">
        <f t="shared" si="12"/>
        <v>54.707705019666101</v>
      </c>
      <c r="V22" s="143">
        <f t="shared" si="4"/>
        <v>53.965503301542867</v>
      </c>
      <c r="W22" s="143">
        <f t="shared" si="5"/>
        <v>40.988546162794691</v>
      </c>
      <c r="X22" s="3">
        <f t="shared" si="10"/>
        <v>55.840419958127626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4">
        <f>'Smith-Wilson'!E15</f>
        <v>2.54</v>
      </c>
      <c r="F23" s="194">
        <f t="shared" si="11"/>
        <v>2.6280000000000001</v>
      </c>
      <c r="G23" s="138">
        <f t="shared" si="6"/>
        <v>0.74008268361599594</v>
      </c>
      <c r="H23" s="115">
        <f>PRODUCT($D$12:D23)</f>
        <v>0.98449893900552066</v>
      </c>
      <c r="I23" s="115">
        <f t="shared" si="14"/>
        <v>0.72861061679630645</v>
      </c>
      <c r="J23" s="139">
        <f>$C$6*SUM(I22:$I$50)/(G22*H22)</f>
        <v>1136.2010625148457</v>
      </c>
      <c r="K23" s="140">
        <f t="shared" si="13"/>
        <v>1.9343848223307702E-3</v>
      </c>
      <c r="L23" s="115">
        <f t="shared" si="15"/>
        <v>1.431604710456608E-3</v>
      </c>
      <c r="M23" s="141">
        <f>$C$3*SUM(L22:$L$51)/(G22*H22)</f>
        <v>1755.0345845993522</v>
      </c>
      <c r="N23" s="141">
        <f t="shared" si="7"/>
        <v>618.83352208450651</v>
      </c>
      <c r="O23" s="144">
        <v>0</v>
      </c>
      <c r="P23" s="143">
        <f t="shared" si="1"/>
        <v>19.343848223307702</v>
      </c>
      <c r="Q23" s="144">
        <f t="shared" si="2"/>
        <v>2.486748616789304</v>
      </c>
      <c r="R23" s="144">
        <f t="shared" si="3"/>
        <v>1.237667044169013</v>
      </c>
      <c r="S23" s="144">
        <f t="shared" si="8"/>
        <v>57.982311630538661</v>
      </c>
      <c r="T23" s="144">
        <f t="shared" si="9"/>
        <v>17.180486135152879</v>
      </c>
      <c r="U23" s="145">
        <f t="shared" si="12"/>
        <v>52.094533881425519</v>
      </c>
      <c r="V23" s="143">
        <f t="shared" si="4"/>
        <v>51.287013334250574</v>
      </c>
      <c r="W23" s="143">
        <f t="shared" si="5"/>
        <v>37.956630463061529</v>
      </c>
      <c r="X23" s="3">
        <f t="shared" si="10"/>
        <v>53.233896632190437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4">
        <f>'Smith-Wilson'!E16</f>
        <v>2.5499999999999998</v>
      </c>
      <c r="F24" s="194">
        <f t="shared" si="11"/>
        <v>2.6699999999999982</v>
      </c>
      <c r="G24" s="138">
        <f t="shared" si="6"/>
        <v>0.72083581873515035</v>
      </c>
      <c r="H24" s="115">
        <f>PRODUCT($D$12:D24)</f>
        <v>0.98234137479650641</v>
      </c>
      <c r="I24" s="115">
        <f t="shared" si="14"/>
        <v>0.70810684917885292</v>
      </c>
      <c r="J24" s="139">
        <f>$C$6*SUM(I23:$I$50)/(G23*H23)</f>
        <v>1108.7289892333854</v>
      </c>
      <c r="K24" s="140">
        <f t="shared" si="13"/>
        <v>2.1575642090142511E-3</v>
      </c>
      <c r="L24" s="115">
        <f t="shared" si="15"/>
        <v>1.5552495630784446E-3</v>
      </c>
      <c r="M24" s="141">
        <f>$C$3*SUM(L23:$L$51)/(G23*H23)</f>
        <v>1786.2318923249263</v>
      </c>
      <c r="N24" s="141">
        <f t="shared" si="7"/>
        <v>677.50290309154093</v>
      </c>
      <c r="O24" s="144">
        <v>0</v>
      </c>
      <c r="P24" s="143">
        <f t="shared" si="1"/>
        <v>21.575642090142509</v>
      </c>
      <c r="Q24" s="144">
        <f t="shared" si="2"/>
        <v>2.5364835891250905</v>
      </c>
      <c r="R24" s="144">
        <f t="shared" si="3"/>
        <v>1.3550058061830819</v>
      </c>
      <c r="S24" s="144">
        <f t="shared" si="8"/>
        <v>57.982311630538661</v>
      </c>
      <c r="T24" s="144">
        <f t="shared" si="9"/>
        <v>18.95748282241798</v>
      </c>
      <c r="U24" s="145">
        <f t="shared" si="12"/>
        <v>51.472662967505968</v>
      </c>
      <c r="V24" s="143">
        <f t="shared" si="4"/>
        <v>50.563726503937033</v>
      </c>
      <c r="W24" s="143">
        <f t="shared" si="5"/>
        <v>36.448145192765672</v>
      </c>
      <c r="X24" s="3">
        <f t="shared" si="10"/>
        <v>52.646357142229981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4">
        <f>'Smith-Wilson'!E17</f>
        <v>2.5609999999999999</v>
      </c>
      <c r="F25" s="194">
        <f t="shared" si="11"/>
        <v>2.7040000000000006</v>
      </c>
      <c r="G25" s="138">
        <f t="shared" si="6"/>
        <v>0.70185685544270882</v>
      </c>
      <c r="H25" s="115">
        <f>PRODUCT($D$12:D25)</f>
        <v>0.97987941659878797</v>
      </c>
      <c r="I25" s="115">
        <f t="shared" si="14"/>
        <v>0.68773508604706135</v>
      </c>
      <c r="J25" s="139">
        <f>$C$6*SUM(I24:$I$50)/(G24*H24)</f>
        <v>1081.1718397480286</v>
      </c>
      <c r="K25" s="140">
        <f t="shared" si="13"/>
        <v>2.461958197718439E-3</v>
      </c>
      <c r="L25" s="115">
        <f t="shared" si="15"/>
        <v>1.7279422388820625E-3</v>
      </c>
      <c r="M25" s="141">
        <f>$C$3*SUM(L24:$L$51)/(G24*H24)</f>
        <v>1817.7362289266953</v>
      </c>
      <c r="N25" s="141">
        <f t="shared" si="7"/>
        <v>736.56438917866672</v>
      </c>
      <c r="O25" s="144">
        <v>0</v>
      </c>
      <c r="P25" s="143">
        <f t="shared" si="1"/>
        <v>24.619581977184389</v>
      </c>
      <c r="Q25" s="144">
        <f t="shared" si="2"/>
        <v>2.5872132609075922</v>
      </c>
      <c r="R25" s="144">
        <f t="shared" si="3"/>
        <v>1.4731287783573335</v>
      </c>
      <c r="S25" s="144">
        <f t="shared" si="8"/>
        <v>57.982311630538661</v>
      </c>
      <c r="T25" s="144">
        <f t="shared" si="9"/>
        <v>20.70903764447613</v>
      </c>
      <c r="U25" s="145">
        <f t="shared" si="12"/>
        <v>50.011425258565474</v>
      </c>
      <c r="V25" s="143">
        <f t="shared" si="4"/>
        <v>49.005166205637025</v>
      </c>
      <c r="W25" s="143">
        <f t="shared" si="5"/>
        <v>34.394611853535707</v>
      </c>
      <c r="X25" s="3">
        <f t="shared" si="10"/>
        <v>51.18226752578407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4">
        <f>'Smith-Wilson'!E18</f>
        <v>2.5579999999999998</v>
      </c>
      <c r="F26" s="194">
        <f t="shared" si="11"/>
        <v>2.5159999999999982</v>
      </c>
      <c r="G26" s="138">
        <f t="shared" si="6"/>
        <v>0.68463146471630254</v>
      </c>
      <c r="H26" s="115">
        <f>PRODUCT($D$12:D26)</f>
        <v>0.97718549882519523</v>
      </c>
      <c r="I26" s="115">
        <f t="shared" si="14"/>
        <v>0.66901193936022418</v>
      </c>
      <c r="J26" s="139">
        <f>$C$6*SUM(I25:$I$50)/(G25*H25)</f>
        <v>1053.497963921669</v>
      </c>
      <c r="K26" s="140">
        <f t="shared" si="13"/>
        <v>2.6939177735927355E-3</v>
      </c>
      <c r="L26" s="115">
        <f t="shared" si="15"/>
        <v>1.8443408711600752E-3</v>
      </c>
      <c r="M26" s="141">
        <f>$C$3*SUM(L25:$L$51)/(G25*H25)</f>
        <v>1848.9662718556331</v>
      </c>
      <c r="N26" s="141">
        <f t="shared" si="7"/>
        <v>795.46830793396407</v>
      </c>
      <c r="O26" s="144">
        <v>0</v>
      </c>
      <c r="P26" s="143">
        <f t="shared" si="1"/>
        <v>26.939177735927355</v>
      </c>
      <c r="Q26" s="144">
        <f t="shared" si="2"/>
        <v>2.6389575261257443</v>
      </c>
      <c r="R26" s="144">
        <f t="shared" si="3"/>
        <v>1.5909366158679281</v>
      </c>
      <c r="S26" s="144">
        <f t="shared" si="8"/>
        <v>57.982311630538661</v>
      </c>
      <c r="T26" s="144">
        <f t="shared" si="9"/>
        <v>20.688603739794381</v>
      </c>
      <c r="U26" s="145">
        <f t="shared" si="12"/>
        <v>47.501843492411993</v>
      </c>
      <c r="V26" s="143">
        <f t="shared" si="4"/>
        <v>46.41811262824897</v>
      </c>
      <c r="W26" s="143">
        <f t="shared" si="5"/>
        <v>31.779300438044391</v>
      </c>
      <c r="X26" s="3">
        <f t="shared" si="10"/>
        <v>48.631037839277582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4">
        <f>'Smith-Wilson'!E19</f>
        <v>2.5339999999999998</v>
      </c>
      <c r="F27" s="194">
        <f t="shared" si="11"/>
        <v>2.1739999999999995</v>
      </c>
      <c r="G27" s="138">
        <f t="shared" si="6"/>
        <v>0.67005985251452693</v>
      </c>
      <c r="H27" s="115">
        <f>PRODUCT($D$12:D27)</f>
        <v>0.97429439263230044</v>
      </c>
      <c r="I27" s="115">
        <f t="shared" si="14"/>
        <v>0.65283555703292984</v>
      </c>
      <c r="J27" s="139">
        <f>$C$6*SUM(I26:$I$50)/(G26*H26)</f>
        <v>1023.3764190282888</v>
      </c>
      <c r="K27" s="140">
        <f t="shared" si="13"/>
        <v>2.8911061928947879E-3</v>
      </c>
      <c r="L27" s="115">
        <f t="shared" si="15"/>
        <v>1.937214189214917E-3</v>
      </c>
      <c r="M27" s="141">
        <f>$C$3*SUM(L26:$L$51)/(G26*H26)</f>
        <v>1874.8836633370588</v>
      </c>
      <c r="N27" s="141">
        <f t="shared" si="7"/>
        <v>851.50724430877005</v>
      </c>
      <c r="O27" s="144">
        <v>0</v>
      </c>
      <c r="P27" s="143">
        <f t="shared" si="1"/>
        <v>28.911061928947881</v>
      </c>
      <c r="Q27" s="144">
        <f t="shared" si="2"/>
        <v>2.6917366766482584</v>
      </c>
      <c r="R27" s="144">
        <f t="shared" si="3"/>
        <v>1.7030144886175402</v>
      </c>
      <c r="S27" s="144">
        <f t="shared" si="8"/>
        <v>57.982311630538661</v>
      </c>
      <c r="T27" s="144">
        <f t="shared" si="9"/>
        <v>19.048234569452362</v>
      </c>
      <c r="U27" s="145">
        <f t="shared" si="12"/>
        <v>43.724733105777339</v>
      </c>
      <c r="V27" s="143">
        <f t="shared" si="4"/>
        <v>42.600762284302775</v>
      </c>
      <c r="W27" s="143">
        <f t="shared" si="5"/>
        <v>28.545060493226337</v>
      </c>
      <c r="X27" s="3">
        <f t="shared" si="10"/>
        <v>44.770488627627827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4">
        <f>'Smith-Wilson'!E20</f>
        <v>2.4969999999999999</v>
      </c>
      <c r="F28" s="194">
        <f t="shared" si="11"/>
        <v>1.9050000000000011</v>
      </c>
      <c r="G28" s="138">
        <f t="shared" si="6"/>
        <v>0.65752213783948488</v>
      </c>
      <c r="H28" s="115">
        <f>PRODUCT($D$12:D28)</f>
        <v>0.97101924835240661</v>
      </c>
      <c r="I28" s="115">
        <f t="shared" si="14"/>
        <v>0.63846665205996411</v>
      </c>
      <c r="J28" s="139">
        <f>$C$6*SUM(I27:$I$50)/(G27*H27)</f>
        <v>989.31526795579146</v>
      </c>
      <c r="K28" s="140">
        <f t="shared" si="13"/>
        <v>3.2751442798938379E-3</v>
      </c>
      <c r="L28" s="115">
        <f t="shared" si="15"/>
        <v>2.1534798686485565E-3</v>
      </c>
      <c r="M28" s="141">
        <f>$C$3*SUM(L27:$L$51)/(G27*H27)</f>
        <v>1893.0895133672802</v>
      </c>
      <c r="N28" s="141">
        <f t="shared" si="7"/>
        <v>903.77424541148878</v>
      </c>
      <c r="O28" s="144">
        <v>0</v>
      </c>
      <c r="P28" s="143">
        <f t="shared" si="1"/>
        <v>32.751442798938378</v>
      </c>
      <c r="Q28" s="144">
        <f t="shared" si="2"/>
        <v>2.7455714101812241</v>
      </c>
      <c r="R28" s="144">
        <f t="shared" si="3"/>
        <v>1.8075484908229775</v>
      </c>
      <c r="S28" s="144">
        <f t="shared" si="8"/>
        <v>57.982311630538661</v>
      </c>
      <c r="T28" s="144">
        <f t="shared" si="9"/>
        <v>17.610810492216729</v>
      </c>
      <c r="U28" s="145">
        <f t="shared" si="12"/>
        <v>38.288559422812803</v>
      </c>
      <c r="V28" s="143">
        <f t="shared" si="4"/>
        <v>37.178928191236146</v>
      </c>
      <c r="W28" s="143">
        <f t="shared" si="5"/>
        <v>24.445968346882282</v>
      </c>
      <c r="X28" s="3">
        <f t="shared" si="10"/>
        <v>39.194013116972677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4">
        <f>'Smith-Wilson'!E21</f>
        <v>2.4580000000000002</v>
      </c>
      <c r="F29" s="194">
        <f t="shared" si="11"/>
        <v>1.7950000000000017</v>
      </c>
      <c r="G29" s="138">
        <f t="shared" si="6"/>
        <v>0.64591335772898839</v>
      </c>
      <c r="H29" s="115">
        <f>PRODUCT($D$12:D29)</f>
        <v>0.96730639780222649</v>
      </c>
      <c r="I29" s="115">
        <f t="shared" si="14"/>
        <v>0.62479612335716872</v>
      </c>
      <c r="J29" s="139">
        <f>$C$6*SUM(I28:$I$50)/(G28*H28)</f>
        <v>952.29291516484454</v>
      </c>
      <c r="K29" s="140">
        <f t="shared" si="13"/>
        <v>3.7128505501801135E-3</v>
      </c>
      <c r="L29" s="115">
        <f t="shared" si="15"/>
        <v>2.3981797656127588E-3</v>
      </c>
      <c r="M29" s="141">
        <f>$C$3*SUM(L28:$L$51)/(G28*H28)</f>
        <v>1905.3524583550602</v>
      </c>
      <c r="N29" s="141">
        <f t="shared" si="7"/>
        <v>953.05954319021566</v>
      </c>
      <c r="O29" s="144">
        <v>0</v>
      </c>
      <c r="P29" s="143">
        <f t="shared" si="1"/>
        <v>37.128505501801136</v>
      </c>
      <c r="Q29" s="144">
        <f t="shared" si="2"/>
        <v>2.8004828383848488</v>
      </c>
      <c r="R29" s="144">
        <f t="shared" si="3"/>
        <v>1.9061190863804314</v>
      </c>
      <c r="S29" s="144">
        <f t="shared" si="8"/>
        <v>57.982311630538661</v>
      </c>
      <c r="T29" s="144">
        <f t="shared" si="9"/>
        <v>17.397261115725694</v>
      </c>
      <c r="U29" s="145">
        <f t="shared" si="12"/>
        <v>33.544465319697942</v>
      </c>
      <c r="V29" s="143">
        <f t="shared" si="4"/>
        <v>32.447775914598729</v>
      </c>
      <c r="W29" s="143">
        <f t="shared" si="5"/>
        <v>20.958451891836262</v>
      </c>
      <c r="X29" s="3">
        <f t="shared" si="10"/>
        <v>34.312803730541432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4">
        <f>'Smith-Wilson'!E22</f>
        <v>2.4239999999999999</v>
      </c>
      <c r="F30" s="194">
        <f t="shared" si="11"/>
        <v>1.8119999999999976</v>
      </c>
      <c r="G30" s="138">
        <f t="shared" si="6"/>
        <v>0.63440570943635777</v>
      </c>
      <c r="H30" s="115">
        <f>PRODUCT($D$12:D30)</f>
        <v>0.96309783319744502</v>
      </c>
      <c r="I30" s="115">
        <f t="shared" si="14"/>
        <v>0.61099476412624409</v>
      </c>
      <c r="J30" s="139">
        <f>$C$6*SUM(I29:$I$50)/(G29*H29)</f>
        <v>913.878104544297</v>
      </c>
      <c r="K30" s="140">
        <f t="shared" si="13"/>
        <v>4.2085646047814729E-3</v>
      </c>
      <c r="L30" s="115">
        <f t="shared" si="15"/>
        <v>2.669937413805135E-3</v>
      </c>
      <c r="M30" s="141">
        <f>$C$3*SUM(L29:$L$51)/(G29*H29)</f>
        <v>1912.5746170972636</v>
      </c>
      <c r="N30" s="141">
        <f t="shared" si="7"/>
        <v>998.69651255296662</v>
      </c>
      <c r="O30" s="144">
        <v>0</v>
      </c>
      <c r="P30" s="143">
        <f t="shared" si="1"/>
        <v>42.085646047814727</v>
      </c>
      <c r="Q30" s="144">
        <f t="shared" si="2"/>
        <v>2.8564924951525454</v>
      </c>
      <c r="R30" s="144">
        <f t="shared" si="3"/>
        <v>1.9973930251059333</v>
      </c>
      <c r="S30" s="144">
        <f t="shared" si="8"/>
        <v>57.982311630538661</v>
      </c>
      <c r="T30" s="144">
        <f t="shared" si="9"/>
        <v>18.296475982191605</v>
      </c>
      <c r="U30" s="145">
        <f t="shared" si="12"/>
        <v>29.339256044657056</v>
      </c>
      <c r="V30" s="143">
        <f t="shared" si="4"/>
        <v>28.256573924234253</v>
      </c>
      <c r="W30" s="143">
        <f t="shared" si="5"/>
        <v>17.92613182664472</v>
      </c>
      <c r="X30" s="3">
        <f t="shared" si="10"/>
        <v>29.973618754027363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4">
        <f>'Smith-Wilson'!E23</f>
        <v>2.399</v>
      </c>
      <c r="F31" s="194">
        <f t="shared" si="11"/>
        <v>1.9240000000000066</v>
      </c>
      <c r="G31" s="138">
        <f t="shared" si="6"/>
        <v>0.62242308351708586</v>
      </c>
      <c r="H31" s="115">
        <f>PRODUCT($D$12:D31)</f>
        <v>0.9584939744600528</v>
      </c>
      <c r="I31" s="115">
        <f t="shared" si="14"/>
        <v>0.59658877511597297</v>
      </c>
      <c r="J31" s="139">
        <f>$C$6*SUM(I30:$I$50)/(G30*H30)</f>
        <v>875.22906055498322</v>
      </c>
      <c r="K31" s="140">
        <f t="shared" si="13"/>
        <v>4.6038587373922191E-3</v>
      </c>
      <c r="L31" s="115">
        <f t="shared" si="15"/>
        <v>2.8655479514047427E-3</v>
      </c>
      <c r="M31" s="141">
        <f>$C$3*SUM(L30:$L$51)/(G30*H30)</f>
        <v>1916.5260939873028</v>
      </c>
      <c r="N31" s="141">
        <f t="shared" si="7"/>
        <v>1041.2970334323195</v>
      </c>
      <c r="O31" s="144">
        <v>0</v>
      </c>
      <c r="P31" s="143">
        <f t="shared" si="1"/>
        <v>46.038587373922191</v>
      </c>
      <c r="Q31" s="144">
        <f t="shared" si="2"/>
        <v>2.9136223450555963</v>
      </c>
      <c r="R31" s="144">
        <f t="shared" si="3"/>
        <v>2.082594066864639</v>
      </c>
      <c r="S31" s="144">
        <f t="shared" si="8"/>
        <v>57.982311630538661</v>
      </c>
      <c r="T31" s="144">
        <f t="shared" si="9"/>
        <v>20.168224974169853</v>
      </c>
      <c r="U31" s="145">
        <f t="shared" si="12"/>
        <v>27.115732818866086</v>
      </c>
      <c r="V31" s="143">
        <f t="shared" si="4"/>
        <v>25.990266519951845</v>
      </c>
      <c r="W31" s="143">
        <f t="shared" si="5"/>
        <v>16.176941828779309</v>
      </c>
      <c r="X31" s="3">
        <f t="shared" si="10"/>
        <v>27.655327960799028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4">
        <f>'Smith-Wilson'!E24</f>
        <v>2.3839999999999999</v>
      </c>
      <c r="F32" s="194">
        <f t="shared" si="11"/>
        <v>2.0839999999999961</v>
      </c>
      <c r="G32" s="138">
        <f t="shared" si="6"/>
        <v>0.6097138363711978</v>
      </c>
      <c r="H32" s="115">
        <f>PRODUCT($D$12:D32)</f>
        <v>0.95334846950538654</v>
      </c>
      <c r="I32" s="115">
        <f t="shared" si="14"/>
        <v>0.58126975274073911</v>
      </c>
      <c r="J32" s="139">
        <f>$C$6*SUM(I31:$I$50)/(G31*H31)</f>
        <v>836.98102515415849</v>
      </c>
      <c r="K32" s="140">
        <f t="shared" si="13"/>
        <v>5.1455049546662579E-3</v>
      </c>
      <c r="L32" s="115">
        <f t="shared" si="15"/>
        <v>3.1372855659765704E-3</v>
      </c>
      <c r="M32" s="141">
        <f>$C$3*SUM(L31:$L$51)/(G31*H31)</f>
        <v>1918.0515663860263</v>
      </c>
      <c r="N32" s="141">
        <f t="shared" si="7"/>
        <v>1081.0705412318678</v>
      </c>
      <c r="O32" s="144">
        <v>0</v>
      </c>
      <c r="P32" s="143">
        <f t="shared" si="1"/>
        <v>51.455049546662579</v>
      </c>
      <c r="Q32" s="144">
        <f t="shared" si="2"/>
        <v>2.9718947919567085</v>
      </c>
      <c r="R32" s="144">
        <f t="shared" si="3"/>
        <v>2.1621410824637355</v>
      </c>
      <c r="S32" s="144">
        <f t="shared" si="8"/>
        <v>57.982311630538661</v>
      </c>
      <c r="T32" s="144">
        <f t="shared" si="9"/>
        <v>22.558544913477135</v>
      </c>
      <c r="U32" s="145">
        <f t="shared" si="12"/>
        <v>23.951771122932769</v>
      </c>
      <c r="V32" s="143">
        <f t="shared" si="4"/>
        <v>22.834384341991267</v>
      </c>
      <c r="W32" s="143">
        <f t="shared" si="5"/>
        <v>13.922440078329904</v>
      </c>
      <c r="X32" s="3">
        <f t="shared" si="10"/>
        <v>24.372820539936178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4">
        <f>'Smith-Wilson'!E25</f>
        <v>2.379</v>
      </c>
      <c r="F33" s="194">
        <f t="shared" si="11"/>
        <v>2.2740000000000009</v>
      </c>
      <c r="G33" s="138">
        <f t="shared" si="6"/>
        <v>0.59615689248155235</v>
      </c>
      <c r="H33" s="115">
        <f>PRODUCT($D$12:D33)</f>
        <v>0.94778226433062707</v>
      </c>
      <c r="I33" s="115">
        <f t="shared" si="14"/>
        <v>0.5650269294524759</v>
      </c>
      <c r="J33" s="139">
        <f>$C$6*SUM(I32:$I$50)/(G32*H32)</f>
        <v>799.52876633727328</v>
      </c>
      <c r="K33" s="140">
        <f t="shared" si="13"/>
        <v>5.5662051747594754E-3</v>
      </c>
      <c r="L33" s="115">
        <f t="shared" si="15"/>
        <v>3.318331579899345E-3</v>
      </c>
      <c r="M33" s="141">
        <f>$C$3*SUM(L32:$L$51)/(G32*H32)</f>
        <v>1919.3026126426803</v>
      </c>
      <c r="N33" s="141">
        <f t="shared" si="7"/>
        <v>1119.773846305407</v>
      </c>
      <c r="O33" s="144">
        <v>0</v>
      </c>
      <c r="P33" s="143">
        <f t="shared" si="1"/>
        <v>55.662051747594752</v>
      </c>
      <c r="Q33" s="144">
        <f t="shared" si="2"/>
        <v>3.0313326877958424</v>
      </c>
      <c r="R33" s="144">
        <f t="shared" si="3"/>
        <v>2.239547692610814</v>
      </c>
      <c r="S33" s="144">
        <f t="shared" si="8"/>
        <v>57.982311630538661</v>
      </c>
      <c r="T33" s="144">
        <f t="shared" si="9"/>
        <v>25.396560154872663</v>
      </c>
      <c r="U33" s="145">
        <f t="shared" si="12"/>
        <v>22.445939657409916</v>
      </c>
      <c r="V33" s="143">
        <f t="shared" si="4"/>
        <v>21.273863513528589</v>
      </c>
      <c r="W33" s="143">
        <f t="shared" si="5"/>
        <v>12.682560363301883</v>
      </c>
      <c r="X33" s="3">
        <f t="shared" si="10"/>
        <v>22.777772797106788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4">
        <f>'Smith-Wilson'!E26</f>
        <v>2.38</v>
      </c>
      <c r="F34" s="194">
        <f t="shared" si="11"/>
        <v>2.4019999999999939</v>
      </c>
      <c r="G34" s="138">
        <f t="shared" si="6"/>
        <v>0.58217308069554108</v>
      </c>
      <c r="H34" s="115">
        <f>PRODUCT($D$12:D34)</f>
        <v>0.94172175522327528</v>
      </c>
      <c r="I34" s="115">
        <f t="shared" si="14"/>
        <v>0.54824505539634638</v>
      </c>
      <c r="J34" s="139">
        <f>$C$6*SUM(I33:$I$50)/(G33*H33)</f>
        <v>762.86368295904333</v>
      </c>
      <c r="K34" s="140">
        <f t="shared" si="13"/>
        <v>6.0605091073517858E-3</v>
      </c>
      <c r="L34" s="115">
        <f t="shared" si="15"/>
        <v>3.5282652576103728E-3</v>
      </c>
      <c r="M34" s="141">
        <f>$C$3*SUM(L33:$L$51)/(G33*H33)</f>
        <v>1918.9522532605167</v>
      </c>
      <c r="N34" s="141">
        <f t="shared" si="7"/>
        <v>1156.0885703014733</v>
      </c>
      <c r="O34" s="144">
        <v>0</v>
      </c>
      <c r="P34" s="143">
        <f t="shared" si="1"/>
        <v>60.605091073517855</v>
      </c>
      <c r="Q34" s="144">
        <f t="shared" si="2"/>
        <v>3.0919593415517594</v>
      </c>
      <c r="R34" s="144">
        <f t="shared" si="3"/>
        <v>2.3121771406029468</v>
      </c>
      <c r="S34" s="144">
        <f t="shared" si="8"/>
        <v>57.982311630538661</v>
      </c>
      <c r="T34" s="144">
        <f t="shared" si="9"/>
        <v>27.576440938119607</v>
      </c>
      <c r="U34" s="145">
        <f t="shared" si="12"/>
        <v>19.549525012985711</v>
      </c>
      <c r="V34" s="143">
        <f t="shared" si="4"/>
        <v>18.410213009010228</v>
      </c>
      <c r="W34" s="143">
        <f t="shared" si="5"/>
        <v>10.717930423716611</v>
      </c>
      <c r="X34" s="3">
        <f t="shared" si="10"/>
        <v>19.772979014092069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4">
        <f>'Smith-Wilson'!E27</f>
        <v>2.387</v>
      </c>
      <c r="F35" s="194">
        <f t="shared" si="11"/>
        <v>2.5480000000000018</v>
      </c>
      <c r="G35" s="138">
        <f t="shared" si="6"/>
        <v>0.56770715216320067</v>
      </c>
      <c r="H35" s="115">
        <f>PRODUCT($D$12:D35)</f>
        <v>0.93514321995631577</v>
      </c>
      <c r="I35" s="115">
        <f t="shared" si="14"/>
        <v>0.53088749426612558</v>
      </c>
      <c r="J35" s="139">
        <f>$C$6*SUM(I34:$I$50)/(G34*H34)</f>
        <v>726.45790956029066</v>
      </c>
      <c r="K35" s="140">
        <f t="shared" si="13"/>
        <v>6.5785352669595065E-3</v>
      </c>
      <c r="L35" s="115">
        <f t="shared" si="15"/>
        <v>3.7346815218107627E-3</v>
      </c>
      <c r="M35" s="141">
        <f>$C$3*SUM(L34:$L$51)/(G34*H34)</f>
        <v>1917.1652772442146</v>
      </c>
      <c r="N35" s="141">
        <f t="shared" si="7"/>
        <v>1190.7073676839241</v>
      </c>
      <c r="O35" s="144">
        <v>0</v>
      </c>
      <c r="P35" s="143">
        <f t="shared" si="1"/>
        <v>65.785352669595071</v>
      </c>
      <c r="Q35" s="144">
        <f t="shared" si="2"/>
        <v>3.1537985283827941</v>
      </c>
      <c r="R35" s="144">
        <f t="shared" si="3"/>
        <v>2.3814147353678483</v>
      </c>
      <c r="S35" s="144">
        <f t="shared" si="8"/>
        <v>57.982311630538661</v>
      </c>
      <c r="T35" s="144">
        <f t="shared" si="9"/>
        <v>29.999365008950878</v>
      </c>
      <c r="U35" s="145">
        <f t="shared" si="12"/>
        <v>16.661110706143816</v>
      </c>
      <c r="V35" s="143">
        <f t="shared" si="4"/>
        <v>15.580524713791974</v>
      </c>
      <c r="W35" s="143">
        <f t="shared" si="5"/>
        <v>8.8451753144752079</v>
      </c>
      <c r="X35" s="3">
        <f t="shared" si="10"/>
        <v>16.785866917353111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4">
        <f>'Smith-Wilson'!E28</f>
        <v>2.3969999999999998</v>
      </c>
      <c r="F36" s="194">
        <f t="shared" si="11"/>
        <v>2.6370000000000005</v>
      </c>
      <c r="G36" s="138">
        <f t="shared" si="6"/>
        <v>0.55311976214736913</v>
      </c>
      <c r="H36" s="115">
        <f>PRODUCT($D$12:D36)</f>
        <v>0.92768528834132047</v>
      </c>
      <c r="I36" s="115">
        <f t="shared" si="14"/>
        <v>0.51312106603496477</v>
      </c>
      <c r="J36" s="139">
        <f>$C$6*SUM(I35:$I$50)/(G35*H35)</f>
        <v>690.33165251842934</v>
      </c>
      <c r="K36" s="140">
        <f t="shared" si="13"/>
        <v>7.4579316149953057E-3</v>
      </c>
      <c r="L36" s="115">
        <f t="shared" si="15"/>
        <v>4.1251293609975478E-3</v>
      </c>
      <c r="M36" s="141">
        <f>$C$3*SUM(L35:$L$51)/(G35*H35)</f>
        <v>1913.3879438143274</v>
      </c>
      <c r="N36" s="141">
        <f t="shared" si="7"/>
        <v>1223.0562912958981</v>
      </c>
      <c r="O36" s="144">
        <v>0</v>
      </c>
      <c r="P36" s="143">
        <f t="shared" si="1"/>
        <v>74.579316149953058</v>
      </c>
      <c r="Q36" s="144">
        <f t="shared" si="2"/>
        <v>3.2168744989504501</v>
      </c>
      <c r="R36" s="144">
        <f t="shared" si="3"/>
        <v>2.446112582591796</v>
      </c>
      <c r="S36" s="144">
        <f t="shared" si="8"/>
        <v>57.982311630538661</v>
      </c>
      <c r="T36" s="144">
        <f t="shared" si="9"/>
        <v>31.664998422955616</v>
      </c>
      <c r="U36" s="145">
        <f t="shared" si="12"/>
        <v>9.4050068219989811</v>
      </c>
      <c r="V36" s="143">
        <f t="shared" si="4"/>
        <v>8.7248864655182103</v>
      </c>
      <c r="W36" s="143">
        <f t="shared" si="5"/>
        <v>4.8259071265702325</v>
      </c>
      <c r="X36" s="3">
        <f t="shared" si="10"/>
        <v>9.4290922425591397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4">
        <f>'Smith-Wilson'!E29</f>
        <v>2.41</v>
      </c>
      <c r="F37" s="194">
        <f t="shared" si="11"/>
        <v>2.7350000000000065</v>
      </c>
      <c r="G37" s="138">
        <f t="shared" si="6"/>
        <v>0.5383918541078454</v>
      </c>
      <c r="H37" s="115">
        <f>PRODUCT($D$12:D37)</f>
        <v>0.91935247309226886</v>
      </c>
      <c r="I37" s="115">
        <f t="shared" si="14"/>
        <v>0.49497188256677971</v>
      </c>
      <c r="J37" s="139">
        <f>$C$6*SUM(I36:$I$50)/(G36*H36)</f>
        <v>654.24395782248564</v>
      </c>
      <c r="K37" s="140">
        <f t="shared" si="13"/>
        <v>8.3328152490516061E-3</v>
      </c>
      <c r="L37" s="115">
        <f t="shared" si="15"/>
        <v>4.4863198518750218E-3</v>
      </c>
      <c r="M37" s="141">
        <f>$C$3*SUM(L36:$L$51)/(G36*H36)</f>
        <v>1906.853919277253</v>
      </c>
      <c r="N37" s="141">
        <f t="shared" si="7"/>
        <v>1252.6099614547675</v>
      </c>
      <c r="O37" s="144">
        <v>0</v>
      </c>
      <c r="P37" s="143">
        <f t="shared" si="1"/>
        <v>83.328152490516061</v>
      </c>
      <c r="Q37" s="144">
        <f t="shared" si="2"/>
        <v>3.2812119889294591</v>
      </c>
      <c r="R37" s="144">
        <f t="shared" si="3"/>
        <v>2.5052199229095349</v>
      </c>
      <c r="S37" s="144">
        <f t="shared" si="8"/>
        <v>57.982311630538661</v>
      </c>
      <c r="T37" s="144">
        <f t="shared" si="9"/>
        <v>33.407414785478785</v>
      </c>
      <c r="U37" s="145">
        <f t="shared" si="12"/>
        <v>2.2751420136624034</v>
      </c>
      <c r="V37" s="143">
        <f t="shared" si="4"/>
        <v>2.091657436896655</v>
      </c>
      <c r="W37" s="143">
        <f t="shared" si="5"/>
        <v>1.1261313256092538</v>
      </c>
      <c r="X37" s="3">
        <f t="shared" si="10"/>
        <v>2.2675092275743034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4">
        <f>'Smith-Wilson'!E30</f>
        <v>2.4260000000000002</v>
      </c>
      <c r="F38" s="194">
        <f t="shared" si="11"/>
        <v>2.8420000000000059</v>
      </c>
      <c r="G38" s="138">
        <f t="shared" si="6"/>
        <v>0.52350912543308847</v>
      </c>
      <c r="H38" s="115">
        <f>PRODUCT($D$12:D38)</f>
        <v>0.9102993702325356</v>
      </c>
      <c r="I38" s="115">
        <f t="shared" si="14"/>
        <v>0.47655002719272593</v>
      </c>
      <c r="J38" s="139">
        <f>$C$6*SUM(I37:$I$50)/(G37*H37)</f>
        <v>618.12483154231813</v>
      </c>
      <c r="K38" s="140">
        <f t="shared" si="13"/>
        <v>9.0531028597332641E-3</v>
      </c>
      <c r="L38" s="115">
        <f t="shared" si="15"/>
        <v>4.7393819605547529E-3</v>
      </c>
      <c r="M38" s="141">
        <f>$C$3*SUM(L37:$L$51)/(G37*H37)</f>
        <v>1893.4320417606277</v>
      </c>
      <c r="N38" s="141">
        <f t="shared" si="7"/>
        <v>1275.3072102183096</v>
      </c>
      <c r="O38" s="144">
        <v>0</v>
      </c>
      <c r="P38" s="143">
        <f t="shared" si="1"/>
        <v>90.531028597332636</v>
      </c>
      <c r="Q38" s="144">
        <f t="shared" si="2"/>
        <v>3.3468362287080486</v>
      </c>
      <c r="R38" s="144">
        <f t="shared" si="3"/>
        <v>2.5506144204366192</v>
      </c>
      <c r="S38" s="144">
        <f t="shared" si="8"/>
        <v>57.982311630538661</v>
      </c>
      <c r="T38" s="144">
        <f t="shared" si="9"/>
        <v>35.151590830759453</v>
      </c>
      <c r="U38" s="145">
        <f t="shared" si="12"/>
        <v>-3.2945767851791885</v>
      </c>
      <c r="V38" s="143">
        <f t="shared" si="4"/>
        <v>-2.9990511727313471</v>
      </c>
      <c r="W38" s="143">
        <f t="shared" si="5"/>
        <v>-1.5700306565656659</v>
      </c>
      <c r="X38" s="3">
        <f t="shared" si="10"/>
        <v>-3.2613002535144466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4">
        <f>'Smith-Wilson'!E31</f>
        <v>2.4430000000000001</v>
      </c>
      <c r="F39" s="194">
        <f t="shared" si="11"/>
        <v>2.9019999999999868</v>
      </c>
      <c r="G39" s="138">
        <f t="shared" si="6"/>
        <v>0.50874005527143717</v>
      </c>
      <c r="H39" s="115">
        <f>PRODUCT($D$12:D39)</f>
        <v>0.90062735185070897</v>
      </c>
      <c r="I39" s="115">
        <f t="shared" si="14"/>
        <v>0.45818520875949775</v>
      </c>
      <c r="J39" s="139">
        <f>$C$6*SUM(I38:$I$50)/(G38*H38)</f>
        <v>581.79578588987522</v>
      </c>
      <c r="K39" s="140">
        <f t="shared" si="13"/>
        <v>9.6720183818266303E-3</v>
      </c>
      <c r="L39" s="115">
        <f t="shared" si="15"/>
        <v>4.920543166156836E-3</v>
      </c>
      <c r="M39" s="141">
        <f>$C$3*SUM(L38:$L$51)/(G38*H38)</f>
        <v>1872.4842572360044</v>
      </c>
      <c r="N39" s="141">
        <f t="shared" si="7"/>
        <v>1290.6884713461291</v>
      </c>
      <c r="O39" s="144">
        <v>0</v>
      </c>
      <c r="P39" s="143">
        <f t="shared" si="1"/>
        <v>96.720183818266307</v>
      </c>
      <c r="Q39" s="144">
        <f t="shared" si="2"/>
        <v>3.413772953282209</v>
      </c>
      <c r="R39" s="144">
        <f t="shared" si="3"/>
        <v>2.5813769426922581</v>
      </c>
      <c r="S39" s="144">
        <f t="shared" si="8"/>
        <v>57.982311630538661</v>
      </c>
      <c r="T39" s="144">
        <f t="shared" si="9"/>
        <v>36.157627137595462</v>
      </c>
      <c r="U39" s="145">
        <f t="shared" si="12"/>
        <v>-8.5753949461066412</v>
      </c>
      <c r="V39" s="143">
        <f t="shared" si="4"/>
        <v>-7.7232352413859777</v>
      </c>
      <c r="W39" s="143">
        <f t="shared" si="5"/>
        <v>-3.9291191235770135</v>
      </c>
      <c r="X39" s="3">
        <f t="shared" si="10"/>
        <v>-8.4247025305292507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4">
        <f>'Smith-Wilson'!E32</f>
        <v>2.4609999999999999</v>
      </c>
      <c r="F40" s="194">
        <f t="shared" si="11"/>
        <v>2.9650000000000034</v>
      </c>
      <c r="G40" s="138">
        <f t="shared" si="6"/>
        <v>0.49408410706604067</v>
      </c>
      <c r="H40" s="115">
        <f>PRODUCT($D$12:D40)</f>
        <v>0.8902412966293034</v>
      </c>
      <c r="I40" s="115">
        <f t="shared" si="14"/>
        <v>0.4398540761184036</v>
      </c>
      <c r="J40" s="139">
        <f>$C$6*SUM(I39:$I$50)/(G39*H39)</f>
        <v>544.80878175452153</v>
      </c>
      <c r="K40" s="140">
        <f t="shared" si="13"/>
        <v>1.0386055221405566E-2</v>
      </c>
      <c r="L40" s="115">
        <f t="shared" si="15"/>
        <v>5.1315848200067585E-3</v>
      </c>
      <c r="M40" s="141">
        <f>$C$3*SUM(L39:$L$51)/(G39*H39)</f>
        <v>1844.0983862962964</v>
      </c>
      <c r="N40" s="141">
        <f t="shared" si="7"/>
        <v>1299.2896045417749</v>
      </c>
      <c r="O40" s="144">
        <v>0</v>
      </c>
      <c r="P40" s="143">
        <f t="shared" si="1"/>
        <v>103.86055221405566</v>
      </c>
      <c r="Q40" s="144">
        <f t="shared" si="2"/>
        <v>3.4820484123478539</v>
      </c>
      <c r="R40" s="144">
        <f t="shared" si="3"/>
        <v>2.59857920908355</v>
      </c>
      <c r="S40" s="144">
        <f t="shared" si="8"/>
        <v>57.982311630538661</v>
      </c>
      <c r="T40" s="144">
        <f t="shared" si="9"/>
        <v>36.983356332386947</v>
      </c>
      <c r="U40" s="145">
        <f t="shared" si="12"/>
        <v>-14.975511872561455</v>
      </c>
      <c r="V40" s="143">
        <f t="shared" si="4"/>
        <v>-13.331819107116637</v>
      </c>
      <c r="W40" s="143">
        <f t="shared" si="5"/>
        <v>-6.5870399391057033</v>
      </c>
      <c r="X40" s="3">
        <f t="shared" si="10"/>
        <v>-14.587911782762122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4">
        <f>'Smith-Wilson'!E33</f>
        <v>2.4790000000000001</v>
      </c>
      <c r="F41" s="194">
        <f t="shared" si="11"/>
        <v>3.0010000000000048</v>
      </c>
      <c r="G41" s="138">
        <f t="shared" si="6"/>
        <v>0.47968223412986721</v>
      </c>
      <c r="H41" s="115">
        <f>PRODUCT($D$12:D41)</f>
        <v>0.8788272245150891</v>
      </c>
      <c r="I41" s="115">
        <f t="shared" si="14"/>
        <v>0.42155780646954832</v>
      </c>
      <c r="J41" s="139">
        <f>$C$6*SUM(I40:$I$50)/(G40*H40)</f>
        <v>507.11520014051717</v>
      </c>
      <c r="K41" s="140">
        <f t="shared" si="13"/>
        <v>1.1414072114214302E-2</v>
      </c>
      <c r="L41" s="115">
        <f t="shared" si="15"/>
        <v>5.4751276122657335E-3</v>
      </c>
      <c r="M41" s="141">
        <f>$C$3*SUM(L40:$L$51)/(G40*H40)</f>
        <v>1809.0844569607923</v>
      </c>
      <c r="N41" s="141">
        <f t="shared" si="7"/>
        <v>1301.9692568202752</v>
      </c>
      <c r="O41" s="144">
        <v>0</v>
      </c>
      <c r="P41" s="143">
        <f t="shared" si="1"/>
        <v>114.14072114214302</v>
      </c>
      <c r="Q41" s="144">
        <f t="shared" si="2"/>
        <v>3.5516893805948104</v>
      </c>
      <c r="R41" s="144">
        <f t="shared" si="3"/>
        <v>2.6039385136405504</v>
      </c>
      <c r="S41" s="144">
        <f t="shared" si="8"/>
        <v>57.982311630538661</v>
      </c>
      <c r="T41" s="144">
        <f t="shared" si="9"/>
        <v>37.202053134627263</v>
      </c>
      <c r="U41" s="145">
        <f t="shared" si="12"/>
        <v>-25.111984271212464</v>
      </c>
      <c r="V41" s="143">
        <f t="shared" si="4"/>
        <v>-22.069095439136223</v>
      </c>
      <c r="W41" s="143">
        <f t="shared" si="5"/>
        <v>-10.586153005470127</v>
      </c>
      <c r="X41" s="3">
        <f t="shared" si="10"/>
        <v>-24.223486572555373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4">
        <f>'Smith-Wilson'!E34</f>
        <v>2.4990000000000001</v>
      </c>
      <c r="F42" s="194">
        <f t="shared" si="11"/>
        <v>3.0990000000000038</v>
      </c>
      <c r="G42" s="138">
        <f t="shared" si="6"/>
        <v>0.46525550564194662</v>
      </c>
      <c r="H42" s="115">
        <f>PRODUCT($D$12:D42)</f>
        <v>0.86652907391420675</v>
      </c>
      <c r="I42" s="115">
        <f t="shared" si="14"/>
        <v>0.40315742243740199</v>
      </c>
      <c r="J42" s="139">
        <f>$C$6*SUM(I41:$I$50)/(G41*H41)</f>
        <v>468.62595994700678</v>
      </c>
      <c r="K42" s="140">
        <f t="shared" si="13"/>
        <v>1.2298150600882352E-2</v>
      </c>
      <c r="L42" s="115">
        <f t="shared" si="15"/>
        <v>5.721782276274328E-3</v>
      </c>
      <c r="M42" s="141">
        <f>$C$3*SUM(L41:$L$51)/(G41*H41)</f>
        <v>1765.8724682883064</v>
      </c>
      <c r="N42" s="141">
        <f t="shared" si="7"/>
        <v>1297.2465083412997</v>
      </c>
      <c r="O42" s="144">
        <v>0</v>
      </c>
      <c r="P42" s="143">
        <f t="shared" si="1"/>
        <v>122.98150600882352</v>
      </c>
      <c r="Q42" s="144">
        <f t="shared" si="2"/>
        <v>3.6227231682067069</v>
      </c>
      <c r="R42" s="144">
        <f t="shared" si="3"/>
        <v>2.5944930166825992</v>
      </c>
      <c r="S42" s="144">
        <f t="shared" si="8"/>
        <v>57.982311630538661</v>
      </c>
      <c r="T42" s="144">
        <f t="shared" si="9"/>
        <v>37.994672730144153</v>
      </c>
      <c r="U42" s="145">
        <f t="shared" si="12"/>
        <v>-33.221737833030005</v>
      </c>
      <c r="V42" s="143">
        <f t="shared" si="4"/>
        <v>-28.787601718276058</v>
      </c>
      <c r="W42" s="143">
        <f t="shared" si="5"/>
        <v>-13.393590193655498</v>
      </c>
      <c r="X42" s="3">
        <f t="shared" si="10"/>
        <v>-31.6961132233981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4">
        <f>'Smith-Wilson'!E35</f>
        <v>2.5179999999999998</v>
      </c>
      <c r="F43" s="194">
        <f t="shared" si="11"/>
        <v>3.1069999999999851</v>
      </c>
      <c r="G43" s="138">
        <f t="shared" si="6"/>
        <v>0.45122795589785897</v>
      </c>
      <c r="H43" s="115">
        <f>PRODUCT($D$12:D43)</f>
        <v>0.85284713256814604</v>
      </c>
      <c r="I43" s="115">
        <f t="shared" si="14"/>
        <v>0.3848284683220749</v>
      </c>
      <c r="J43" s="139">
        <f>$C$6*SUM(I42:$I$50)/(G42*H42)</f>
        <v>429.38570888353559</v>
      </c>
      <c r="K43" s="140">
        <f t="shared" si="13"/>
        <v>1.3681941346060711E-2</v>
      </c>
      <c r="L43" s="115">
        <f t="shared" si="15"/>
        <v>6.1736744262973755E-3</v>
      </c>
      <c r="M43" s="141">
        <f>$C$3*SUM(L42:$L$51)/(G42*H42)</f>
        <v>1710.6619145056477</v>
      </c>
      <c r="N43" s="141">
        <f t="shared" si="7"/>
        <v>1281.2762056221122</v>
      </c>
      <c r="O43" s="144">
        <v>0</v>
      </c>
      <c r="P43" s="143">
        <f t="shared" si="1"/>
        <v>136.81941346060711</v>
      </c>
      <c r="Q43" s="144">
        <f t="shared" si="2"/>
        <v>3.6951776315708402</v>
      </c>
      <c r="R43" s="144">
        <f t="shared" si="3"/>
        <v>2.5625524112442246</v>
      </c>
      <c r="S43" s="144">
        <f t="shared" si="8"/>
        <v>57.982311630538661</v>
      </c>
      <c r="T43" s="144">
        <f t="shared" si="9"/>
        <v>37.165355282388347</v>
      </c>
      <c r="U43" s="145">
        <f t="shared" si="12"/>
        <v>-47.92947659049517</v>
      </c>
      <c r="V43" s="143">
        <f t="shared" si="4"/>
        <v>-40.876516675695889</v>
      </c>
      <c r="W43" s="143">
        <f t="shared" si="5"/>
        <v>-18.444627063799</v>
      </c>
      <c r="X43" s="3">
        <f t="shared" si="10"/>
        <v>-45.14636703372134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4">
        <f>'Smith-Wilson'!E36</f>
        <v>2.5369999999999999</v>
      </c>
      <c r="F44" s="194">
        <f t="shared" si="11"/>
        <v>3.1450000000000102</v>
      </c>
      <c r="G44" s="138">
        <f t="shared" si="6"/>
        <v>0.43746163821212275</v>
      </c>
      <c r="H44" s="115">
        <f>PRODUCT($D$12:D44)</f>
        <v>0.83792936449023636</v>
      </c>
      <c r="I44" s="115">
        <f t="shared" si="14"/>
        <v>0.3665619524959417</v>
      </c>
      <c r="J44" s="139">
        <f>$C$6*SUM(I43:$I$50)/(G43*H43)</f>
        <v>389.0929300887783</v>
      </c>
      <c r="K44" s="140">
        <f t="shared" si="13"/>
        <v>1.4917768077909677E-2</v>
      </c>
      <c r="L44" s="115">
        <f t="shared" si="15"/>
        <v>6.5259512618308767E-3</v>
      </c>
      <c r="M44" s="141">
        <f>$C$3*SUM(L43:$L$51)/(G43*H43)</f>
        <v>1643.4548829216799</v>
      </c>
      <c r="N44" s="141">
        <f t="shared" si="7"/>
        <v>1254.3619528329016</v>
      </c>
      <c r="O44" s="144">
        <v>0</v>
      </c>
      <c r="P44" s="143">
        <f t="shared" si="1"/>
        <v>149.17768077909676</v>
      </c>
      <c r="Q44" s="144">
        <f t="shared" si="2"/>
        <v>3.7690811842022578</v>
      </c>
      <c r="R44" s="144">
        <f t="shared" si="3"/>
        <v>2.5087239056658031</v>
      </c>
      <c r="S44" s="144">
        <f t="shared" si="8"/>
        <v>57.982311630538661</v>
      </c>
      <c r="T44" s="144">
        <f t="shared" si="9"/>
        <v>36.384152086796369</v>
      </c>
      <c r="U44" s="145">
        <f t="shared" si="12"/>
        <v>-61.089022151629806</v>
      </c>
      <c r="V44" s="143">
        <f t="shared" si="4"/>
        <v>-51.188285508845134</v>
      </c>
      <c r="W44" s="143">
        <f t="shared" si="5"/>
        <v>-22.392911235969255</v>
      </c>
      <c r="X44" s="3">
        <f t="shared" si="10"/>
        <v>-56.711079692150633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4">
        <f>'Smith-Wilson'!E37</f>
        <v>2.556</v>
      </c>
      <c r="F45" s="194">
        <f t="shared" si="11"/>
        <v>3.1829999999999927</v>
      </c>
      <c r="G45" s="138">
        <f t="shared" si="6"/>
        <v>0.42395864437303077</v>
      </c>
      <c r="H45" s="115">
        <f>PRODUCT($D$12:D45)</f>
        <v>0.82182462496197961</v>
      </c>
      <c r="I45" s="115">
        <f t="shared" si="14"/>
        <v>0.34841965391125529</v>
      </c>
      <c r="J45" s="139">
        <f>$C$6*SUM(I44:$I$50)/(G44*H44)</f>
        <v>347.61052334767345</v>
      </c>
      <c r="K45" s="140">
        <f t="shared" si="13"/>
        <v>1.6104739528256751E-2</v>
      </c>
      <c r="L45" s="115">
        <f t="shared" si="15"/>
        <v>6.8277435383804954E-3</v>
      </c>
      <c r="M45" s="141">
        <f>$C$3*SUM(L44:$L$51)/(G44*H44)</f>
        <v>1556.9304921097334</v>
      </c>
      <c r="N45" s="141">
        <f t="shared" si="7"/>
        <v>1209.3199687620599</v>
      </c>
      <c r="O45" s="144">
        <v>0</v>
      </c>
      <c r="P45" s="143">
        <f t="shared" si="1"/>
        <v>161.04739528256749</v>
      </c>
      <c r="Q45" s="144">
        <f t="shared" si="2"/>
        <v>3.8444628078863032</v>
      </c>
      <c r="R45" s="144">
        <f t="shared" si="3"/>
        <v>2.4186399375241199</v>
      </c>
      <c r="S45" s="144">
        <f t="shared" si="8"/>
        <v>57.982311630538661</v>
      </c>
      <c r="T45" s="144">
        <f t="shared" si="9"/>
        <v>35.012738432665792</v>
      </c>
      <c r="U45" s="145">
        <f t="shared" si="12"/>
        <v>-74.315447964773469</v>
      </c>
      <c r="V45" s="143">
        <f t="shared" si="4"/>
        <v>-61.074265152531467</v>
      </c>
      <c r="W45" s="143">
        <f t="shared" si="5"/>
        <v>-25.892962660146274</v>
      </c>
      <c r="X45" s="3">
        <f t="shared" si="10"/>
        <v>-67.874084735490499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4">
        <f>'Smith-Wilson'!E38</f>
        <v>2.5750000000000002</v>
      </c>
      <c r="F46" s="194">
        <f t="shared" si="11"/>
        <v>3.2210000000000036</v>
      </c>
      <c r="G46" s="138">
        <f t="shared" si="6"/>
        <v>0.41072071052722531</v>
      </c>
      <c r="H46" s="115">
        <f>PRODUCT($D$12:D46)</f>
        <v>0.8049872230623708</v>
      </c>
      <c r="I46" s="115">
        <f t="shared" si="14"/>
        <v>0.33062492422151496</v>
      </c>
      <c r="J46" s="139">
        <f>$C$6*SUM(I45:$I$50)/(G45*H45)</f>
        <v>304.70922519193539</v>
      </c>
      <c r="K46" s="140">
        <f t="shared" si="13"/>
        <v>1.6837401899608806E-2</v>
      </c>
      <c r="L46" s="115">
        <f t="shared" si="15"/>
        <v>6.9154696716397816E-3</v>
      </c>
      <c r="M46" s="141">
        <f>$C$3*SUM(L45:$L$51)/(G45*H45)</f>
        <v>1450.6987846289646</v>
      </c>
      <c r="N46" s="141">
        <f t="shared" si="7"/>
        <v>1145.9895594370291</v>
      </c>
      <c r="O46" s="144">
        <v>0</v>
      </c>
      <c r="P46" s="143">
        <f t="shared" si="1"/>
        <v>168.37401899608807</v>
      </c>
      <c r="Q46" s="144">
        <f t="shared" si="2"/>
        <v>3.9213520640440289</v>
      </c>
      <c r="R46" s="144">
        <f t="shared" si="3"/>
        <v>2.2919791188740581</v>
      </c>
      <c r="S46" s="144">
        <f t="shared" si="8"/>
        <v>57.982311630538661</v>
      </c>
      <c r="T46" s="144">
        <f t="shared" si="9"/>
        <v>33.156475417820609</v>
      </c>
      <c r="U46" s="145">
        <f t="shared" si="12"/>
        <v>-83.448563130646889</v>
      </c>
      <c r="V46" s="143">
        <f t="shared" si="4"/>
        <v>-67.175027103084375</v>
      </c>
      <c r="W46" s="143">
        <f t="shared" si="5"/>
        <v>-27.590174861464433</v>
      </c>
      <c r="X46" s="3">
        <f t="shared" si="10"/>
        <v>-74.886233957609122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4">
        <f>'Smith-Wilson'!E39</f>
        <v>2.5939999999999999</v>
      </c>
      <c r="F47" s="194">
        <f t="shared" si="11"/>
        <v>3.2590000000000003</v>
      </c>
      <c r="G47" s="138">
        <f t="shared" si="6"/>
        <v>0.39774922579355743</v>
      </c>
      <c r="H47" s="115">
        <f>PRODUCT($D$12:D47)</f>
        <v>0.78745298475606429</v>
      </c>
      <c r="I47" s="115">
        <f t="shared" si="14"/>
        <v>0.31320881503555054</v>
      </c>
      <c r="J47" s="139">
        <f>$C$6*SUM(I46:$I$50)/(G46*H46)</f>
        <v>260.00612638646334</v>
      </c>
      <c r="K47" s="140">
        <f t="shared" si="13"/>
        <v>1.7534238306306515E-2</v>
      </c>
      <c r="L47" s="115">
        <f t="shared" si="15"/>
        <v>6.9742297112131545E-3</v>
      </c>
      <c r="M47" s="141">
        <f>$C$3*SUM(L46:$L$51)/(G46*H46)</f>
        <v>1322.2673218465391</v>
      </c>
      <c r="N47" s="141">
        <f t="shared" si="7"/>
        <v>1062.2611954600757</v>
      </c>
      <c r="O47" s="144">
        <v>0</v>
      </c>
      <c r="P47" s="143">
        <f t="shared" si="1"/>
        <v>175.34238306306514</v>
      </c>
      <c r="Q47" s="144">
        <f t="shared" si="2"/>
        <v>3.9997791053249094</v>
      </c>
      <c r="R47" s="144">
        <f t="shared" si="3"/>
        <v>2.1245223909201512</v>
      </c>
      <c r="S47" s="144">
        <f t="shared" si="8"/>
        <v>57.982311630538661</v>
      </c>
      <c r="T47" s="144">
        <f t="shared" si="9"/>
        <v>30.594736646295196</v>
      </c>
      <c r="U47" s="178">
        <f t="shared" si="12"/>
        <v>-92.889636282476332</v>
      </c>
      <c r="V47" s="154">
        <f t="shared" si="4"/>
        <v>-73.146221343541185</v>
      </c>
      <c r="W47" s="154">
        <f t="shared" si="5"/>
        <v>-29.093852909117693</v>
      </c>
      <c r="X47" s="3">
        <f t="shared" si="10"/>
        <v>-81.796447059333616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4">
        <f>'Smith-Wilson'!E40</f>
        <v>2.6120000000000001</v>
      </c>
      <c r="F48" s="194">
        <f t="shared" si="11"/>
        <v>3.2600000000000051</v>
      </c>
      <c r="G48" s="138">
        <f t="shared" si="6"/>
        <v>0.38518410583198032</v>
      </c>
      <c r="H48" s="115">
        <f>PRODUCT($D$12:D48)</f>
        <v>0.76906958583212903</v>
      </c>
      <c r="I48" s="115">
        <f>H48*G48</f>
        <v>0.29623338074132005</v>
      </c>
      <c r="J48" s="139">
        <f>$C$6*SUM(I47:$I$50)/(G47*H47)</f>
        <v>213.25743477889517</v>
      </c>
      <c r="K48" s="140">
        <f>H47-H48</f>
        <v>1.8383398923935257E-2</v>
      </c>
      <c r="L48" s="115">
        <f>K48*G48</f>
        <v>7.0809930766685915E-3</v>
      </c>
      <c r="M48" s="141">
        <f>$C$3*SUM(L47:$L$51)/(G47*H47)</f>
        <v>1174.9983356245191</v>
      </c>
      <c r="N48" s="141">
        <f>M48-J48</f>
        <v>961.74090084562386</v>
      </c>
      <c r="O48" s="144">
        <v>0</v>
      </c>
      <c r="P48" s="154">
        <f t="shared" si="1"/>
        <v>183.83398923935258</v>
      </c>
      <c r="Q48" s="144">
        <f t="shared" si="2"/>
        <v>4.0797746874314074</v>
      </c>
      <c r="R48" s="144">
        <f t="shared" si="3"/>
        <v>1.9234818016912478</v>
      </c>
      <c r="S48" s="144">
        <f t="shared" si="8"/>
        <v>57.982311630538661</v>
      </c>
      <c r="T48" s="144">
        <f t="shared" si="9"/>
        <v>27.054282515974652</v>
      </c>
      <c r="U48" s="178">
        <f t="shared" si="12"/>
        <v>-104.80065158196193</v>
      </c>
      <c r="V48" s="154">
        <f t="shared" si="4"/>
        <v>-80.598993707076716</v>
      </c>
      <c r="W48" s="154">
        <f t="shared" si="5"/>
        <v>-31.045451322017755</v>
      </c>
      <c r="X48" s="3">
        <f t="shared" si="10"/>
        <v>-90.410853197791184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4">
        <f>'Smith-Wilson'!E41</f>
        <v>2.63</v>
      </c>
      <c r="F49" s="194">
        <f>B49*E49-B48*E48</f>
        <v>3.2959999999999923</v>
      </c>
      <c r="G49" s="138">
        <f t="shared" si="6"/>
        <v>0.37288550504536244</v>
      </c>
      <c r="H49" s="115">
        <f>PRODUCT($D$12:D49)</f>
        <v>0.74962933870011328</v>
      </c>
      <c r="I49" s="115">
        <f t="shared" ref="I49:I51" si="16">H49*G49</f>
        <v>0.27952591455801279</v>
      </c>
      <c r="J49" s="139">
        <f>$C$6*SUM(I48:$I$50)/(G48*H48)</f>
        <v>164.17304897946056</v>
      </c>
      <c r="K49" s="140">
        <f t="shared" ref="K49:K51" si="17">H48-H49</f>
        <v>1.9440247132015753E-2</v>
      </c>
      <c r="L49" s="115">
        <f>K49*G49</f>
        <v>7.2489863700283532E-3</v>
      </c>
      <c r="M49" s="141">
        <f>$C$3*SUM(L48:$L$51)/(G48*H48)</f>
        <v>1006.9005002445458</v>
      </c>
      <c r="N49" s="141">
        <f t="shared" ref="N49:N52" si="18">M49-J49</f>
        <v>842.72745126508528</v>
      </c>
      <c r="O49" s="144">
        <v>0</v>
      </c>
      <c r="P49" s="154">
        <f t="shared" si="1"/>
        <v>194.40247132015753</v>
      </c>
      <c r="Q49" s="144">
        <f t="shared" si="2"/>
        <v>4.1613701811800361</v>
      </c>
      <c r="R49" s="144">
        <f t="shared" si="3"/>
        <v>1.6854549025301706</v>
      </c>
      <c r="S49" s="144">
        <f t="shared" si="8"/>
        <v>57.982311630538661</v>
      </c>
      <c r="T49" s="144">
        <f t="shared" si="9"/>
        <v>23.08717697556823</v>
      </c>
      <c r="U49" s="178">
        <f t="shared" si="12"/>
        <v>-119.17980779776084</v>
      </c>
      <c r="V49" s="154">
        <f t="shared" si="4"/>
        <v>-89.340680505842059</v>
      </c>
      <c r="W49" s="154">
        <f t="shared" si="5"/>
        <v>-33.313844771517282</v>
      </c>
      <c r="X49" s="3">
        <f t="shared" si="10"/>
        <v>-100.52836245444178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4">
        <f>'Smith-Wilson'!E42</f>
        <v>2.6469999999999998</v>
      </c>
      <c r="F50" s="194">
        <f t="shared" si="11"/>
        <v>3.2929999999999922</v>
      </c>
      <c r="G50" s="138">
        <f t="shared" si="6"/>
        <v>0.36099053872165482</v>
      </c>
      <c r="H50" s="171">
        <f>PRODUCT($D$12:D50)</f>
        <v>0.72856693040883636</v>
      </c>
      <c r="I50" s="115">
        <f t="shared" si="16"/>
        <v>0.26300576870306824</v>
      </c>
      <c r="J50" s="139">
        <f>$C$6*SUM(I49:$I$50)/(G49*H49)</f>
        <v>112.53783456186872</v>
      </c>
      <c r="K50" s="140">
        <f t="shared" si="17"/>
        <v>2.1062408291276924E-2</v>
      </c>
      <c r="L50" s="115">
        <f>K50*G50</f>
        <v>7.603330115843506E-3</v>
      </c>
      <c r="M50" s="141">
        <f>$C$3*SUM(L49:$L$51)/(G49*H49)</f>
        <v>813.7621474221977</v>
      </c>
      <c r="N50" s="141">
        <f t="shared" si="18"/>
        <v>701.22431286032895</v>
      </c>
      <c r="O50" s="144">
        <v>0</v>
      </c>
      <c r="P50" s="154">
        <f t="shared" si="1"/>
        <v>210.62408291276924</v>
      </c>
      <c r="Q50" s="144">
        <f t="shared" si="2"/>
        <v>4.2445975848036372</v>
      </c>
      <c r="R50" s="144">
        <f t="shared" si="3"/>
        <v>1.4024486257206579</v>
      </c>
      <c r="S50" s="144">
        <f t="shared" si="8"/>
        <v>57.982311630538661</v>
      </c>
      <c r="T50" s="144">
        <f t="shared" si="9"/>
        <v>17.878865862454173</v>
      </c>
      <c r="U50" s="178">
        <f t="shared" si="12"/>
        <v>-140.4099516303007</v>
      </c>
      <c r="V50" s="154">
        <f t="shared" si="4"/>
        <v>-102.29804745814137</v>
      </c>
      <c r="W50" s="154">
        <f t="shared" si="5"/>
        <v>-36.928627262087865</v>
      </c>
      <c r="X50" s="3">
        <f t="shared" si="10"/>
        <v>-115.46626039909863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4">
        <f>'Smith-Wilson'!E43</f>
        <v>2.6640000000000001</v>
      </c>
      <c r="F51" s="194">
        <f t="shared" si="11"/>
        <v>3.3270000000000124</v>
      </c>
      <c r="G51" s="138">
        <f t="shared" si="6"/>
        <v>0.34935965470745112</v>
      </c>
      <c r="H51" s="171">
        <f>PRODUCT($D$12:D51)</f>
        <v>0.70597003275095693</v>
      </c>
      <c r="I51" s="115">
        <f t="shared" si="16"/>
        <v>0.24663744687568226</v>
      </c>
      <c r="J51" s="139">
        <f>$C$6*SUM(I50:$I$50)/(G50*H50)</f>
        <v>57.982311630538661</v>
      </c>
      <c r="K51" s="140">
        <f t="shared" si="17"/>
        <v>2.2596897657879422E-2</v>
      </c>
      <c r="L51" s="115">
        <f t="shared" ref="L51" si="19">K51*G51</f>
        <v>7.8944443632163654E-3</v>
      </c>
      <c r="M51" s="141">
        <f>$C$3*SUM(L50:$L$51)/(G50*H50)</f>
        <v>589.25606671984269</v>
      </c>
      <c r="N51" s="141">
        <f t="shared" si="18"/>
        <v>531.27375508930402</v>
      </c>
      <c r="O51" s="144">
        <v>0</v>
      </c>
      <c r="P51" s="154">
        <f t="shared" si="1"/>
        <v>225.96897657879421</v>
      </c>
      <c r="Q51" s="144">
        <f t="shared" si="2"/>
        <v>4.3294895364997084</v>
      </c>
      <c r="R51" s="144">
        <f>$C$7*N51</f>
        <v>1.0625475101786082</v>
      </c>
      <c r="S51" s="144">
        <f t="shared" si="8"/>
        <v>57.982311630538661</v>
      </c>
      <c r="T51" s="144">
        <f t="shared" si="9"/>
        <v>11.907168416449737</v>
      </c>
      <c r="U51" s="178">
        <f t="shared" si="12"/>
        <v>-161.47153357848413</v>
      </c>
      <c r="V51" s="154">
        <f t="shared" si="4"/>
        <v>-113.99406384874968</v>
      </c>
      <c r="W51" s="154">
        <f t="shared" si="5"/>
        <v>-39.824926784898324</v>
      </c>
      <c r="X51" s="3">
        <f>V51*(1+$X$6)^(-B51)</f>
        <v>-129.06794532889998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v>0</v>
      </c>
      <c r="N52" s="141">
        <f t="shared" si="18"/>
        <v>0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10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191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191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4" max="4" width="19.42578125" customWidth="1"/>
  </cols>
  <sheetData>
    <row r="1" spans="1:7" x14ac:dyDescent="0.25">
      <c r="A1" t="s">
        <v>85</v>
      </c>
    </row>
    <row r="5" spans="1:7" x14ac:dyDescent="0.25">
      <c r="D5" s="196" t="s">
        <v>78</v>
      </c>
      <c r="E5" s="197" t="s">
        <v>88</v>
      </c>
      <c r="F5" s="197" t="s">
        <v>54</v>
      </c>
      <c r="G5" s="197" t="s">
        <v>83</v>
      </c>
    </row>
    <row r="6" spans="1:7" x14ac:dyDescent="0.25">
      <c r="D6" s="196">
        <v>0.5</v>
      </c>
      <c r="E6" s="198">
        <f>' testovanie i= 0.5'!$X$3</f>
        <v>5.509175420052613E-2</v>
      </c>
      <c r="F6" s="199">
        <f>' testovanie i= 0.5'!$W$11</f>
        <v>139.48576075395366</v>
      </c>
      <c r="G6" s="198">
        <f>' testovanie i= 0.5'!X6</f>
        <v>-2.5000000000000001E-3</v>
      </c>
    </row>
    <row r="7" spans="1:7" x14ac:dyDescent="0.25">
      <c r="D7" s="197" t="s">
        <v>86</v>
      </c>
      <c r="E7" s="198">
        <f>' testovanie Sven All Bonds'!X3</f>
        <v>0.22087892810677376</v>
      </c>
      <c r="F7" s="199">
        <f>' testovanie Sven All Bonds'!W11</f>
        <v>298.11765232305652</v>
      </c>
      <c r="G7" s="198">
        <f>' testovanie Sven All Bonds'!X6</f>
        <v>-2.5000000000000001E-3</v>
      </c>
    </row>
    <row r="8" spans="1:7" x14ac:dyDescent="0.25">
      <c r="D8" s="197" t="s">
        <v>87</v>
      </c>
      <c r="E8" s="198">
        <f>' testovanie Sven AAA rated'!X3</f>
        <v>0.15463457292736998</v>
      </c>
      <c r="F8" s="199">
        <f>' testovanie Sven AAA rated'!W11</f>
        <v>271.0288341063075</v>
      </c>
      <c r="G8" s="198">
        <f>' testovanie Sven AAA rated'!X6</f>
        <v>-2.5999999999999999E-3</v>
      </c>
    </row>
    <row r="9" spans="1:7" x14ac:dyDescent="0.25">
      <c r="D9" s="197" t="s">
        <v>14</v>
      </c>
      <c r="E9" s="198">
        <f>' testovanie Smith-Wilson'!X3</f>
        <v>0.2029196536211976</v>
      </c>
      <c r="F9" s="199">
        <f>' testovanie Smith-Wilson'!W11</f>
        <v>287.58815092041448</v>
      </c>
      <c r="G9" s="198">
        <f>' testovanie Smith-Wilson'!X6</f>
        <v>-3.0999999999999999E-3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P12" activePane="bottomRight" state="frozen"/>
      <selection pane="topRight" activeCell="C1" sqref="C1"/>
      <selection pane="bottomLeft" activeCell="A9" sqref="A9"/>
      <selection pane="bottomRight" activeCell="U51" sqref="U51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92</v>
      </c>
      <c r="D1" s="162"/>
    </row>
    <row r="2" spans="1:37" ht="36.75" customHeight="1" thickBot="1" x14ac:dyDescent="0.3">
      <c r="A2" s="163" t="s">
        <v>62</v>
      </c>
      <c r="B2" s="86"/>
      <c r="C2" s="88">
        <f>TUM!O5</f>
        <v>5782.8748830155137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183"/>
      <c r="F3" s="18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203" t="s">
        <v>37</v>
      </c>
      <c r="X3" s="204">
        <f>W11/C2</f>
        <v>0.29316378263668286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60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/>
      <c r="X5" s="98"/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TUM!P4</f>
        <v>170.72019405454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201"/>
      <c r="S6" s="247" t="s">
        <v>41</v>
      </c>
      <c r="T6" s="247"/>
      <c r="U6" s="91"/>
      <c r="V6" s="91"/>
      <c r="W6" s="202" t="s">
        <v>83</v>
      </c>
      <c r="X6" s="204">
        <v>-1.32E-2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>
        <v>5.0000000000000001E-3</v>
      </c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205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/>
      <c r="F10" s="122"/>
      <c r="G10" s="121">
        <v>5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206">
        <f>SUM(W12:W51)</f>
        <v>1695.3294752194929</v>
      </c>
      <c r="X11" s="132">
        <f>SUM(X12:X51)</f>
        <v>-0.41151609541702783</v>
      </c>
      <c r="Y11" s="193">
        <f>NPV(X5,V12:V51)</f>
        <v>1406.1508596354934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73">
        <v>0.5</v>
      </c>
      <c r="F12" s="173">
        <f>E12</f>
        <v>0.5</v>
      </c>
      <c r="G12" s="138">
        <f>(1+E12/100)^(-B12)</f>
        <v>0.99502487562189068</v>
      </c>
      <c r="H12" s="115">
        <f>PRODUCT($D$12:D12)</f>
        <v>0.99917201979718562</v>
      </c>
      <c r="I12" s="115">
        <f>H12*G12</f>
        <v>0.99420101472356792</v>
      </c>
      <c r="J12" s="139">
        <v>0</v>
      </c>
      <c r="K12" s="115">
        <f>C12</f>
        <v>8.279802028143497E-4</v>
      </c>
      <c r="L12" s="115">
        <f>K12*G12</f>
        <v>8.2386089832273612E-4</v>
      </c>
      <c r="M12" s="141">
        <v>0</v>
      </c>
      <c r="N12" s="141">
        <f>M12-J12</f>
        <v>0</v>
      </c>
      <c r="O12" s="142">
        <f>C4</f>
        <v>200</v>
      </c>
      <c r="P12" s="143">
        <v>0</v>
      </c>
      <c r="Q12" s="144">
        <f t="shared" ref="Q12:Q51" si="1">$C$8*(1+$C$5)^(B12-1)</f>
        <v>2</v>
      </c>
      <c r="R12" s="144">
        <f t="shared" ref="R12:R50" si="2">$C$7*N12</f>
        <v>0</v>
      </c>
      <c r="S12" s="144">
        <f>$C$6</f>
        <v>170.72019405454</v>
      </c>
      <c r="T12" s="144">
        <f>F12/100*(N12+S12-O12-Q12-P12-R12)</f>
        <v>-0.15639902972729999</v>
      </c>
      <c r="U12" s="145">
        <f>S12+T12-O12-Q12-R12-P12</f>
        <v>-31.436204975187309</v>
      </c>
      <c r="V12" s="143">
        <f t="shared" ref="V12:V51" si="3">U12*H12</f>
        <v>-31.410176419816239</v>
      </c>
      <c r="W12" s="143">
        <f t="shared" ref="W12:W51" si="4">V12*G12</f>
        <v>-31.253906885389295</v>
      </c>
      <c r="X12" s="3">
        <f>V12*(1+$X$6)^(-B12)</f>
        <v>-31.830336866453422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73">
        <v>0.5</v>
      </c>
      <c r="F13" s="173">
        <f>B13*E13-B12*E12</f>
        <v>0.5</v>
      </c>
      <c r="G13" s="138">
        <f>(1+E13/100)^(-B13)</f>
        <v>0.99007450310635903</v>
      </c>
      <c r="H13" s="115">
        <f>PRODUCT($D$12:D13)</f>
        <v>0.99823320922948466</v>
      </c>
      <c r="I13" s="115">
        <f>H13*G13</f>
        <v>0.9883252486121481</v>
      </c>
      <c r="J13" s="139">
        <f>$C$6*SUM(I12:$I$50)/(G12*H12)</f>
        <v>5644.8893190089957</v>
      </c>
      <c r="K13" s="140">
        <f>H12-H13</f>
        <v>9.3881056770095395E-4</v>
      </c>
      <c r="L13" s="115">
        <f>K13*G13</f>
        <v>9.2949240632752086E-4</v>
      </c>
      <c r="M13" s="141">
        <f>$C$3*$G$51*$H$51/(I12)</f>
        <v>5816.6052914595048</v>
      </c>
      <c r="N13" s="141">
        <f>M13-J13</f>
        <v>171.71597245050907</v>
      </c>
      <c r="O13" s="144">
        <v>0</v>
      </c>
      <c r="P13" s="143">
        <v>0</v>
      </c>
      <c r="Q13" s="144">
        <f t="shared" si="1"/>
        <v>2.04</v>
      </c>
      <c r="R13" s="144">
        <f t="shared" si="2"/>
        <v>0.34343194490101814</v>
      </c>
      <c r="S13" s="144">
        <f t="shared" ref="S13:S51" si="5">$C$6</f>
        <v>170.72019405454</v>
      </c>
      <c r="T13" s="144">
        <f t="shared" ref="T13:T50" si="6">F13/100*(N13+S13-O13-Q13-P13-R13)</f>
        <v>1.7002636728007403</v>
      </c>
      <c r="U13" s="145">
        <f>S13+T13-O13-Q13-R13-P13</f>
        <v>170.03702578243971</v>
      </c>
      <c r="V13" s="143">
        <f t="shared" si="3"/>
        <v>169.73660593464143</v>
      </c>
      <c r="W13" s="143">
        <f t="shared" si="4"/>
        <v>168.05188577969997</v>
      </c>
      <c r="X13" s="3">
        <f t="shared" ref="X13:X52" si="7">V13*(1+$X$6)^(-B13)</f>
        <v>174.30796478518619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73">
        <v>0.5</v>
      </c>
      <c r="F14" s="173">
        <f t="shared" ref="F14:F51" si="8">B14*E14-B13*E13</f>
        <v>0.5</v>
      </c>
      <c r="G14" s="138">
        <f t="shared" ref="G14:G47" si="9">(1+E14/100)^(-B14)</f>
        <v>0.98514875930981005</v>
      </c>
      <c r="H14" s="115">
        <f>PRODUCT($D$12:D14)</f>
        <v>0.99720309581120525</v>
      </c>
      <c r="I14" s="115">
        <f>H14*G14</f>
        <v>0.98239339261831049</v>
      </c>
      <c r="J14" s="139">
        <f>$C$6*SUM(I13:$I$50)/(G13*H13)</f>
        <v>5506.7140158977491</v>
      </c>
      <c r="K14" s="140">
        <f>H13-H14</f>
        <v>1.0301134182794103E-3</v>
      </c>
      <c r="L14" s="115">
        <f>K14*G14</f>
        <v>1.0148149559663483E-3</v>
      </c>
      <c r="M14" s="141">
        <f t="shared" ref="M14:M52" si="10">$C$3*$G$51*$H$51/(I13)</f>
        <v>5851.1860251836069</v>
      </c>
      <c r="N14" s="141">
        <f t="shared" ref="N14:N47" si="11">M14-J14</f>
        <v>344.47200928585789</v>
      </c>
      <c r="O14" s="144">
        <v>0</v>
      </c>
      <c r="P14" s="143">
        <v>0</v>
      </c>
      <c r="Q14" s="144">
        <f t="shared" si="1"/>
        <v>2.0808</v>
      </c>
      <c r="R14" s="144">
        <f t="shared" si="2"/>
        <v>0.68894401857171583</v>
      </c>
      <c r="S14" s="144">
        <f t="shared" si="5"/>
        <v>170.72019405454</v>
      </c>
      <c r="T14" s="144">
        <f t="shared" si="6"/>
        <v>2.562112296609131</v>
      </c>
      <c r="U14" s="145">
        <f t="shared" ref="U14:U50" si="12">S14+T14-O14-Q14-R14-P14</f>
        <v>170.51256233257743</v>
      </c>
      <c r="V14" s="143">
        <f t="shared" si="3"/>
        <v>170.03565503274731</v>
      </c>
      <c r="W14" s="143">
        <f t="shared" si="4"/>
        <v>167.51041459394187</v>
      </c>
      <c r="X14" s="3">
        <f t="shared" si="7"/>
        <v>176.95081870264019</v>
      </c>
      <c r="Z14" s="149"/>
      <c r="AB14" s="148"/>
      <c r="AC14" s="148"/>
    </row>
    <row r="15" spans="1:37" x14ac:dyDescent="0.25">
      <c r="A15">
        <v>33</v>
      </c>
      <c r="B15">
        <v>4</v>
      </c>
      <c r="C15" s="186">
        <f>TUM!C7</f>
        <v>1.0464696879975339E-3</v>
      </c>
      <c r="D15">
        <f t="shared" si="0"/>
        <v>0.99895353031200251</v>
      </c>
      <c r="E15" s="173">
        <v>0.5</v>
      </c>
      <c r="F15" s="173">
        <f t="shared" si="8"/>
        <v>0.5</v>
      </c>
      <c r="G15" s="138">
        <f t="shared" si="9"/>
        <v>0.9802475217013038</v>
      </c>
      <c r="H15" s="115">
        <f>PRODUCT($D$12:D15)</f>
        <v>0.99615955299866155</v>
      </c>
      <c r="I15" s="115">
        <f>H15*G15</f>
        <v>0.97648293304601663</v>
      </c>
      <c r="J15" s="139">
        <f>$C$6*SUM(I14:$I$50)/(G14*H14)</f>
        <v>5368.2134470697401</v>
      </c>
      <c r="K15" s="140">
        <f t="shared" ref="K15:K47" si="13">H14-H15</f>
        <v>1.0435428125437074E-3</v>
      </c>
      <c r="L15" s="115">
        <f>K15*G15</f>
        <v>1.0229302557851773E-3</v>
      </c>
      <c r="M15" s="141">
        <f t="shared" si="10"/>
        <v>5886.5164673011359</v>
      </c>
      <c r="N15" s="141">
        <f t="shared" si="11"/>
        <v>518.30302023139575</v>
      </c>
      <c r="O15" s="144">
        <v>0</v>
      </c>
      <c r="P15" s="143">
        <v>0</v>
      </c>
      <c r="Q15" s="144">
        <f t="shared" si="1"/>
        <v>2.1224159999999999</v>
      </c>
      <c r="R15" s="144">
        <f t="shared" si="2"/>
        <v>1.0366060404627915</v>
      </c>
      <c r="S15" s="144">
        <f t="shared" si="5"/>
        <v>170.72019405454</v>
      </c>
      <c r="T15" s="144">
        <f t="shared" si="6"/>
        <v>3.429320961227365</v>
      </c>
      <c r="U15" s="145">
        <f t="shared" si="12"/>
        <v>170.99049297530459</v>
      </c>
      <c r="V15" s="143">
        <f t="shared" si="3"/>
        <v>170.3338130493002</v>
      </c>
      <c r="W15" s="143">
        <f t="shared" si="4"/>
        <v>166.96929810350971</v>
      </c>
      <c r="X15" s="3">
        <f t="shared" si="7"/>
        <v>179.63224815447688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73">
        <v>0.5</v>
      </c>
      <c r="F16" s="173">
        <f t="shared" si="8"/>
        <v>0.5</v>
      </c>
      <c r="G16" s="138">
        <f t="shared" si="9"/>
        <v>0.97537066835950648</v>
      </c>
      <c r="H16" s="115">
        <f>PRODUCT($D$12:D16)</f>
        <v>0.99513503894949118</v>
      </c>
      <c r="I16" s="115">
        <f t="shared" ref="I16:I47" si="14">H16*G16</f>
        <v>0.97062552804812874</v>
      </c>
      <c r="J16" s="139">
        <f>$C$6*SUM(I15:$I$50)/(G15*H15)</f>
        <v>5228.9526597386639</v>
      </c>
      <c r="K16" s="140">
        <f t="shared" si="13"/>
        <v>1.0245140491703664E-3</v>
      </c>
      <c r="L16" s="115">
        <f t="shared" ref="L16:L47" si="15">K16*G16</f>
        <v>9.9928095288300445E-4</v>
      </c>
      <c r="M16" s="141">
        <f>$C$3*$G$51*$H$51/(I15)</f>
        <v>5922.1463963292817</v>
      </c>
      <c r="N16" s="141">
        <f t="shared" si="11"/>
        <v>693.19373659061785</v>
      </c>
      <c r="O16" s="144">
        <v>0</v>
      </c>
      <c r="P16" s="143">
        <v>0</v>
      </c>
      <c r="Q16" s="144">
        <f t="shared" si="1"/>
        <v>2.16486432</v>
      </c>
      <c r="R16" s="144">
        <f t="shared" si="2"/>
        <v>1.3863874731812358</v>
      </c>
      <c r="S16" s="144">
        <f t="shared" si="5"/>
        <v>170.72019405454</v>
      </c>
      <c r="T16" s="144">
        <f t="shared" si="6"/>
        <v>4.3018133942598835</v>
      </c>
      <c r="U16" s="145">
        <f t="shared" si="12"/>
        <v>171.47075565561866</v>
      </c>
      <c r="V16" s="143">
        <f t="shared" si="3"/>
        <v>170.63655710805276</v>
      </c>
      <c r="W16" s="143">
        <f t="shared" si="4"/>
        <v>166.43389275304651</v>
      </c>
      <c r="X16" s="3">
        <f t="shared" si="7"/>
        <v>182.35865307603879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73">
        <v>0.5</v>
      </c>
      <c r="F17" s="173">
        <f t="shared" si="8"/>
        <v>0.5</v>
      </c>
      <c r="G17" s="138">
        <f t="shared" si="9"/>
        <v>0.97051807796965839</v>
      </c>
      <c r="H17" s="115">
        <f>PRODUCT($D$12:D17)</f>
        <v>0.99406934438051142</v>
      </c>
      <c r="I17" s="115">
        <f>H17*G17</f>
        <v>0.96476226947673238</v>
      </c>
      <c r="J17" s="139">
        <f>$C$6*SUM(I16:$I$50)/(G16*H16)</f>
        <v>5088.7572306617749</v>
      </c>
      <c r="K17" s="140">
        <f t="shared" si="13"/>
        <v>1.0656945689797581E-3</v>
      </c>
      <c r="L17" s="115">
        <f t="shared" si="15"/>
        <v>1.0342758447889383E-3</v>
      </c>
      <c r="M17" s="141">
        <f t="shared" si="10"/>
        <v>5957.884597002655</v>
      </c>
      <c r="N17" s="141">
        <f t="shared" si="11"/>
        <v>869.12736634088014</v>
      </c>
      <c r="O17" s="144">
        <v>0</v>
      </c>
      <c r="P17" s="143">
        <v>0</v>
      </c>
      <c r="Q17" s="144">
        <f t="shared" si="1"/>
        <v>2.2081616064</v>
      </c>
      <c r="R17" s="144">
        <f t="shared" si="2"/>
        <v>1.7382547326817603</v>
      </c>
      <c r="S17" s="144">
        <f t="shared" si="5"/>
        <v>170.72019405454</v>
      </c>
      <c r="T17" s="144">
        <f t="shared" si="6"/>
        <v>5.1795057202816928</v>
      </c>
      <c r="U17" s="145">
        <f t="shared" si="12"/>
        <v>171.95328343573993</v>
      </c>
      <c r="V17" s="143">
        <f t="shared" si="3"/>
        <v>170.93348772904224</v>
      </c>
      <c r="W17" s="143">
        <f t="shared" si="4"/>
        <v>165.89403997144026</v>
      </c>
      <c r="X17" s="3">
        <f t="shared" si="7"/>
        <v>185.11955991571267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73">
        <v>0.5</v>
      </c>
      <c r="F18" s="173">
        <f t="shared" si="8"/>
        <v>0.5</v>
      </c>
      <c r="G18" s="138">
        <f>(1+E18/100)^(-B18)</f>
        <v>0.96568962982055562</v>
      </c>
      <c r="H18" s="115">
        <f>PRODUCT($D$12:D18)</f>
        <v>0.99284921734070164</v>
      </c>
      <c r="I18" s="115">
        <f t="shared" si="14"/>
        <v>0.95878419316137053</v>
      </c>
      <c r="J18" s="139">
        <f>$C$6*SUM(I17:$I$50)/(G17*H17)</f>
        <v>4947.9259778745718</v>
      </c>
      <c r="K18" s="140">
        <f t="shared" si="13"/>
        <v>1.2201270398097819E-3</v>
      </c>
      <c r="L18" s="115">
        <f t="shared" si="15"/>
        <v>1.1782640294079585E-3</v>
      </c>
      <c r="M18" s="141">
        <f t="shared" si="10"/>
        <v>5994.0931211499692</v>
      </c>
      <c r="N18" s="141">
        <f t="shared" si="11"/>
        <v>1046.1671432753974</v>
      </c>
      <c r="O18" s="144">
        <v>0</v>
      </c>
      <c r="P18" s="143">
        <v>0</v>
      </c>
      <c r="Q18" s="144">
        <f t="shared" si="1"/>
        <v>2.2523248385280001</v>
      </c>
      <c r="R18" s="144">
        <f t="shared" si="2"/>
        <v>2.0923342865507948</v>
      </c>
      <c r="S18" s="144">
        <f t="shared" si="5"/>
        <v>170.72019405454</v>
      </c>
      <c r="T18" s="144">
        <f t="shared" si="6"/>
        <v>6.0627133910242934</v>
      </c>
      <c r="U18" s="145">
        <f t="shared" si="12"/>
        <v>172.43824832048549</v>
      </c>
      <c r="V18" s="143">
        <f t="shared" si="3"/>
        <v>171.20517988459557</v>
      </c>
      <c r="W18" s="143">
        <f t="shared" si="4"/>
        <v>165.33106678611674</v>
      </c>
      <c r="X18" s="3">
        <f t="shared" si="7"/>
        <v>187.89400109782761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73">
        <v>0.5</v>
      </c>
      <c r="F19" s="173">
        <f t="shared" si="8"/>
        <v>0.5</v>
      </c>
      <c r="G19" s="138">
        <f>(1+E19/100)^(-B19)</f>
        <v>0.96088520380154796</v>
      </c>
      <c r="H19" s="115">
        <f>PRODUCT($D$12:D19)</f>
        <v>0.99144316150046929</v>
      </c>
      <c r="I19" s="115">
        <f t="shared" si="14"/>
        <v>0.95266306429602943</v>
      </c>
      <c r="J19" s="139">
        <f>$C$6*SUM(I18:$I$50)/(G18*H18)</f>
        <v>4806.9919452456788</v>
      </c>
      <c r="K19" s="140">
        <f t="shared" si="13"/>
        <v>1.4060558402323453E-3</v>
      </c>
      <c r="L19" s="115">
        <f>K19*G19</f>
        <v>1.3510582525980139E-3</v>
      </c>
      <c r="M19" s="141">
        <f t="shared" si="10"/>
        <v>6031.4666473044508</v>
      </c>
      <c r="N19" s="141">
        <f t="shared" si="11"/>
        <v>1224.474702058772</v>
      </c>
      <c r="O19" s="144">
        <v>0</v>
      </c>
      <c r="P19" s="143">
        <v>0</v>
      </c>
      <c r="Q19" s="144">
        <f t="shared" si="1"/>
        <v>2.2973713352985596</v>
      </c>
      <c r="R19" s="144">
        <f t="shared" si="2"/>
        <v>2.4489494041175441</v>
      </c>
      <c r="S19" s="144">
        <f t="shared" si="5"/>
        <v>170.72019405454</v>
      </c>
      <c r="T19" s="144">
        <f t="shared" si="6"/>
        <v>6.9522428768694811</v>
      </c>
      <c r="U19" s="145">
        <f t="shared" si="12"/>
        <v>172.9261161919934</v>
      </c>
      <c r="V19" s="143">
        <f t="shared" si="3"/>
        <v>171.44641534338743</v>
      </c>
      <c r="W19" s="143">
        <f t="shared" si="4"/>
        <v>164.74032374827567</v>
      </c>
      <c r="X19" s="3">
        <f t="shared" si="7"/>
        <v>190.67567067610776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73">
        <v>0.5</v>
      </c>
      <c r="F20" s="173">
        <f t="shared" si="8"/>
        <v>0.5</v>
      </c>
      <c r="G20" s="138">
        <f>(1+E20/100)^(-B20)</f>
        <v>0.95610468039955032</v>
      </c>
      <c r="H20" s="115">
        <f>PRODUCT($D$12:D20)</f>
        <v>0.98989429002974061</v>
      </c>
      <c r="I20" s="115">
        <f t="shared" si="14"/>
        <v>0.94644256379822489</v>
      </c>
      <c r="J20" s="139">
        <f>$C$6*SUM(I19:$I$50)/(G19*H19)</f>
        <v>4666.0611047489492</v>
      </c>
      <c r="K20" s="140">
        <f t="shared" si="13"/>
        <v>1.5488714707286855E-3</v>
      </c>
      <c r="L20" s="115">
        <f>K20*G20</f>
        <v>1.4808832625010312E-3</v>
      </c>
      <c r="M20" s="141">
        <f t="shared" si="10"/>
        <v>6070.2205215532013</v>
      </c>
      <c r="N20" s="141">
        <f t="shared" si="11"/>
        <v>1404.159416804252</v>
      </c>
      <c r="O20" s="144">
        <v>0</v>
      </c>
      <c r="P20" s="143">
        <v>0</v>
      </c>
      <c r="Q20" s="144">
        <f t="shared" si="1"/>
        <v>2.343318762004531</v>
      </c>
      <c r="R20" s="144">
        <f t="shared" si="2"/>
        <v>2.8083188336085043</v>
      </c>
      <c r="S20" s="144">
        <f t="shared" si="5"/>
        <v>170.72019405454</v>
      </c>
      <c r="T20" s="144">
        <f t="shared" si="6"/>
        <v>7.8486398663158949</v>
      </c>
      <c r="U20" s="145">
        <f t="shared" si="12"/>
        <v>173.41719632524286</v>
      </c>
      <c r="V20" s="143">
        <f t="shared" si="3"/>
        <v>171.66469243532441</v>
      </c>
      <c r="W20" s="143">
        <f t="shared" si="4"/>
        <v>164.12941589676296</v>
      </c>
      <c r="X20" s="3">
        <f t="shared" si="7"/>
        <v>193.47226338099796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73">
        <v>0.5</v>
      </c>
      <c r="F21" s="173">
        <f t="shared" si="8"/>
        <v>0.5</v>
      </c>
      <c r="G21" s="138">
        <f>(1+E21/100)^(-B21)</f>
        <v>0.95134794069607009</v>
      </c>
      <c r="H21" s="115">
        <f>PRODUCT($D$12:D21)</f>
        <v>0.98820462254350394</v>
      </c>
      <c r="I21" s="115">
        <f>H21*G21</f>
        <v>0.9401264326430997</v>
      </c>
      <c r="J21" s="139">
        <f>$C$6*SUM(I20:$I$50)/(G20*H20)</f>
        <v>4524.8865708774792</v>
      </c>
      <c r="K21" s="140">
        <f t="shared" si="13"/>
        <v>1.6896674862366678E-3</v>
      </c>
      <c r="L21" s="115">
        <f>K21*G21</f>
        <v>1.6074616834923594E-3</v>
      </c>
      <c r="M21" s="141">
        <f t="shared" si="10"/>
        <v>6110.1170892060427</v>
      </c>
      <c r="N21" s="141">
        <f t="shared" si="11"/>
        <v>1585.2305183285634</v>
      </c>
      <c r="O21" s="144">
        <v>0</v>
      </c>
      <c r="P21" s="143">
        <v>0</v>
      </c>
      <c r="Q21" s="144">
        <f t="shared" si="1"/>
        <v>2.3901851372446217</v>
      </c>
      <c r="R21" s="144">
        <f t="shared" si="2"/>
        <v>3.1704610366571271</v>
      </c>
      <c r="S21" s="144">
        <f t="shared" si="5"/>
        <v>170.72019405454</v>
      </c>
      <c r="T21" s="144">
        <f t="shared" si="6"/>
        <v>8.7519503310460092</v>
      </c>
      <c r="U21" s="145">
        <f>S21+T21-O21-Q21-R21-P21</f>
        <v>173.91149821168426</v>
      </c>
      <c r="V21" s="143">
        <f t="shared" si="3"/>
        <v>171.86014644625271</v>
      </c>
      <c r="W21" s="143">
        <f t="shared" si="4"/>
        <v>163.49879640936754</v>
      </c>
      <c r="X21" s="3">
        <f t="shared" si="7"/>
        <v>196.28348911560826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73">
        <v>0.5</v>
      </c>
      <c r="F22" s="173">
        <f t="shared" si="8"/>
        <v>0.5</v>
      </c>
      <c r="G22" s="138">
        <f t="shared" si="9"/>
        <v>0.94661486636424896</v>
      </c>
      <c r="H22" s="115">
        <f>PRODUCT($D$12:D22)</f>
        <v>0.98643332382785143</v>
      </c>
      <c r="I22" s="115">
        <f t="shared" si="14"/>
        <v>0.93377244901254353</v>
      </c>
      <c r="J22" s="139">
        <f>$C$6*SUM(I21:$I$50)/(G21*H21)</f>
        <v>4383.4193421181826</v>
      </c>
      <c r="K22" s="140">
        <f t="shared" si="13"/>
        <v>1.771298715652514E-3</v>
      </c>
      <c r="L22" s="115">
        <f t="shared" si="15"/>
        <v>1.6767376970085704E-3</v>
      </c>
      <c r="M22" s="141">
        <f t="shared" si="10"/>
        <v>6151.1672071142248</v>
      </c>
      <c r="N22" s="141">
        <f t="shared" si="11"/>
        <v>1767.7478649960422</v>
      </c>
      <c r="O22" s="144">
        <v>0</v>
      </c>
      <c r="P22" s="143">
        <v>0</v>
      </c>
      <c r="Q22" s="144">
        <f t="shared" si="1"/>
        <v>2.4379888399895142</v>
      </c>
      <c r="R22" s="144">
        <f t="shared" si="2"/>
        <v>3.5354957299920842</v>
      </c>
      <c r="S22" s="144">
        <f t="shared" si="5"/>
        <v>170.72019405454</v>
      </c>
      <c r="T22" s="144">
        <f t="shared" si="6"/>
        <v>9.6624728724030042</v>
      </c>
      <c r="U22" s="145">
        <f t="shared" si="12"/>
        <v>174.40918235696142</v>
      </c>
      <c r="V22" s="143">
        <f t="shared" si="3"/>
        <v>172.04302945847533</v>
      </c>
      <c r="W22" s="143">
        <f t="shared" si="4"/>
        <v>162.85848933973517</v>
      </c>
      <c r="X22" s="3">
        <f t="shared" si="7"/>
        <v>199.12075592726126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73">
        <v>0.5</v>
      </c>
      <c r="F23" s="173">
        <f t="shared" si="8"/>
        <v>0.5</v>
      </c>
      <c r="G23" s="138">
        <f t="shared" si="9"/>
        <v>0.94190533966591972</v>
      </c>
      <c r="H23" s="115">
        <f>PRODUCT($D$12:D23)</f>
        <v>0.98449893900552066</v>
      </c>
      <c r="I23" s="115">
        <f t="shared" si="14"/>
        <v>0.92730480754473255</v>
      </c>
      <c r="J23" s="139">
        <f>$C$6*SUM(I22:$I$50)/(G22*H22)</f>
        <v>4241.3650414036747</v>
      </c>
      <c r="K23" s="140">
        <f t="shared" si="13"/>
        <v>1.9343848223307702E-3</v>
      </c>
      <c r="L23" s="115">
        <f t="shared" si="15"/>
        <v>1.8220073931220638E-3</v>
      </c>
      <c r="M23" s="141">
        <f t="shared" si="10"/>
        <v>6193.0236741626459</v>
      </c>
      <c r="N23" s="141">
        <f t="shared" si="11"/>
        <v>1951.6586327589712</v>
      </c>
      <c r="O23" s="144">
        <v>0</v>
      </c>
      <c r="P23" s="143">
        <v>0</v>
      </c>
      <c r="Q23" s="144">
        <f t="shared" si="1"/>
        <v>2.486748616789304</v>
      </c>
      <c r="R23" s="144">
        <f t="shared" si="2"/>
        <v>3.9033172655179422</v>
      </c>
      <c r="S23" s="144">
        <f t="shared" si="5"/>
        <v>170.72019405454</v>
      </c>
      <c r="T23" s="144">
        <f t="shared" si="6"/>
        <v>10.57994380465602</v>
      </c>
      <c r="U23" s="145">
        <f t="shared" si="12"/>
        <v>174.91007197688876</v>
      </c>
      <c r="V23" s="143">
        <f t="shared" si="3"/>
        <v>172.19878028262625</v>
      </c>
      <c r="W23" s="143">
        <f t="shared" si="4"/>
        <v>162.19495063216416</v>
      </c>
      <c r="X23" s="3">
        <f t="shared" si="7"/>
        <v>201.96698445441197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73">
        <v>0.5</v>
      </c>
      <c r="F24" s="173">
        <f t="shared" si="8"/>
        <v>0.5</v>
      </c>
      <c r="G24" s="138">
        <f t="shared" si="9"/>
        <v>0.93721924344867635</v>
      </c>
      <c r="H24" s="115">
        <f>PRODUCT($D$12:D24)</f>
        <v>0.98234137479650641</v>
      </c>
      <c r="I24" s="115">
        <f t="shared" si="14"/>
        <v>0.92066924009511431</v>
      </c>
      <c r="J24" s="139">
        <f>$C$6*SUM(I23:$I$50)/(G23*H23)</f>
        <v>4099.0362362443939</v>
      </c>
      <c r="K24" s="140">
        <f t="shared" si="13"/>
        <v>2.1575642090142511E-3</v>
      </c>
      <c r="L24" s="115">
        <f t="shared" si="15"/>
        <v>2.0221106956642781E-3</v>
      </c>
      <c r="M24" s="141">
        <f t="shared" si="10"/>
        <v>6236.2179468551421</v>
      </c>
      <c r="N24" s="141">
        <f t="shared" si="11"/>
        <v>2137.1817106107483</v>
      </c>
      <c r="O24" s="144">
        <v>0</v>
      </c>
      <c r="P24" s="143">
        <v>0</v>
      </c>
      <c r="Q24" s="144">
        <f t="shared" si="1"/>
        <v>2.5364835891250905</v>
      </c>
      <c r="R24" s="144">
        <f t="shared" si="2"/>
        <v>4.2743634212214969</v>
      </c>
      <c r="S24" s="144">
        <f t="shared" si="5"/>
        <v>170.72019405454</v>
      </c>
      <c r="T24" s="144">
        <f t="shared" si="6"/>
        <v>11.505455288274709</v>
      </c>
      <c r="U24" s="145">
        <f t="shared" si="12"/>
        <v>175.41480233246813</v>
      </c>
      <c r="V24" s="143">
        <f t="shared" si="3"/>
        <v>172.31721808293415</v>
      </c>
      <c r="W24" s="143">
        <f t="shared" si="4"/>
        <v>161.49901276486813</v>
      </c>
      <c r="X24" s="3">
        <f t="shared" si="7"/>
        <v>204.8093805589005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73">
        <v>0.5</v>
      </c>
      <c r="F25" s="173">
        <f t="shared" si="8"/>
        <v>0.5</v>
      </c>
      <c r="G25" s="138">
        <f t="shared" si="9"/>
        <v>0.93255646114296176</v>
      </c>
      <c r="H25" s="115">
        <f>PRODUCT($D$12:D25)</f>
        <v>0.97987941659878797</v>
      </c>
      <c r="I25" s="115">
        <f t="shared" si="14"/>
        <v>0.91379288109019563</v>
      </c>
      <c r="J25" s="139">
        <f>$C$6*SUM(I24:$I$50)/(G24*H24)</f>
        <v>3956.6287140226564</v>
      </c>
      <c r="K25" s="140">
        <f t="shared" si="13"/>
        <v>2.461958197718439E-3</v>
      </c>
      <c r="L25" s="115">
        <f t="shared" si="15"/>
        <v>2.2959150243462116E-3</v>
      </c>
      <c r="M25" s="141">
        <f t="shared" si="10"/>
        <v>6281.1644303638141</v>
      </c>
      <c r="N25" s="141">
        <f t="shared" si="11"/>
        <v>2324.5357163411577</v>
      </c>
      <c r="O25" s="144">
        <v>0</v>
      </c>
      <c r="P25" s="143">
        <v>0</v>
      </c>
      <c r="Q25" s="144">
        <f t="shared" si="1"/>
        <v>2.5872132609075922</v>
      </c>
      <c r="R25" s="144">
        <f t="shared" si="2"/>
        <v>4.6490714326823159</v>
      </c>
      <c r="S25" s="144">
        <f t="shared" si="5"/>
        <v>170.72019405454</v>
      </c>
      <c r="T25" s="144">
        <f t="shared" si="6"/>
        <v>12.44009812851054</v>
      </c>
      <c r="U25" s="145">
        <f t="shared" si="12"/>
        <v>175.92400748946062</v>
      </c>
      <c r="V25" s="143">
        <f t="shared" si="3"/>
        <v>172.38431382449349</v>
      </c>
      <c r="W25" s="143">
        <f t="shared" si="4"/>
        <v>160.75810565672739</v>
      </c>
      <c r="X25" s="3">
        <f t="shared" si="7"/>
        <v>207.62984179603382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73">
        <v>0.5</v>
      </c>
      <c r="F26" s="173">
        <f t="shared" si="8"/>
        <v>0.5</v>
      </c>
      <c r="G26" s="138">
        <f t="shared" si="9"/>
        <v>0.92791687675916612</v>
      </c>
      <c r="H26" s="115">
        <f>PRODUCT($D$12:D26)</f>
        <v>0.97718549882519523</v>
      </c>
      <c r="I26" s="115">
        <f t="shared" si="14"/>
        <v>0.90674691608422298</v>
      </c>
      <c r="J26" s="139">
        <f>$C$6*SUM(I25:$I$50)/(G25*H25)</f>
        <v>3814.3977615476992</v>
      </c>
      <c r="K26" s="140">
        <f t="shared" si="13"/>
        <v>2.6939177735927355E-3</v>
      </c>
      <c r="L26" s="115">
        <f t="shared" si="15"/>
        <v>2.4997317667181775E-3</v>
      </c>
      <c r="M26" s="141">
        <f t="shared" si="10"/>
        <v>6328.4306571925654</v>
      </c>
      <c r="N26" s="141">
        <f t="shared" si="11"/>
        <v>2514.0328956448661</v>
      </c>
      <c r="O26" s="144">
        <v>0</v>
      </c>
      <c r="P26" s="143">
        <v>0</v>
      </c>
      <c r="Q26" s="144">
        <f t="shared" si="1"/>
        <v>2.6389575261257443</v>
      </c>
      <c r="R26" s="144">
        <f t="shared" si="2"/>
        <v>5.0280657912897322</v>
      </c>
      <c r="S26" s="144">
        <f t="shared" si="5"/>
        <v>170.72019405454</v>
      </c>
      <c r="T26" s="144">
        <f t="shared" si="6"/>
        <v>13.385430331909955</v>
      </c>
      <c r="U26" s="145">
        <f t="shared" si="12"/>
        <v>176.43860106903449</v>
      </c>
      <c r="V26" s="143">
        <f t="shared" si="3"/>
        <v>172.41324239766411</v>
      </c>
      <c r="W26" s="143">
        <f t="shared" si="4"/>
        <v>159.98515739756152</v>
      </c>
      <c r="X26" s="3">
        <f t="shared" si="7"/>
        <v>210.44252642576237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73">
        <v>0.5</v>
      </c>
      <c r="F27" s="173">
        <f t="shared" si="8"/>
        <v>0.5</v>
      </c>
      <c r="G27" s="138">
        <f t="shared" si="9"/>
        <v>0.92330037488474248</v>
      </c>
      <c r="H27" s="115">
        <f>PRODUCT($D$12:D27)</f>
        <v>0.97429439263230044</v>
      </c>
      <c r="I27" s="115">
        <f t="shared" si="14"/>
        <v>0.89956637796550554</v>
      </c>
      <c r="J27" s="139">
        <f>$C$6*SUM(I26:$I$50)/(G26*H26)</f>
        <v>3671.9911180310255</v>
      </c>
      <c r="K27" s="140">
        <f t="shared" si="13"/>
        <v>2.8911061928947879E-3</v>
      </c>
      <c r="L27" s="115">
        <f t="shared" si="15"/>
        <v>2.6693594317313582E-3</v>
      </c>
      <c r="M27" s="141">
        <f t="shared" si="10"/>
        <v>6377.6063424497752</v>
      </c>
      <c r="N27" s="141">
        <f t="shared" si="11"/>
        <v>2705.6152244187497</v>
      </c>
      <c r="O27" s="144">
        <v>0</v>
      </c>
      <c r="P27" s="143">
        <v>0</v>
      </c>
      <c r="Q27" s="144">
        <f t="shared" si="1"/>
        <v>2.6917366766482584</v>
      </c>
      <c r="R27" s="144">
        <f t="shared" si="2"/>
        <v>5.4112304488374994</v>
      </c>
      <c r="S27" s="144">
        <f t="shared" si="5"/>
        <v>170.72019405454</v>
      </c>
      <c r="T27" s="144">
        <f t="shared" si="6"/>
        <v>14.34116225673902</v>
      </c>
      <c r="U27" s="145">
        <f t="shared" si="12"/>
        <v>176.95838918579327</v>
      </c>
      <c r="V27" s="143">
        <f t="shared" si="3"/>
        <v>172.40956631296268</v>
      </c>
      <c r="W27" s="143">
        <f t="shared" si="4"/>
        <v>159.18581721047431</v>
      </c>
      <c r="X27" s="3">
        <f t="shared" si="7"/>
        <v>213.2529788255265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73">
        <v>0.5</v>
      </c>
      <c r="F28" s="173">
        <f t="shared" si="8"/>
        <v>0.5</v>
      </c>
      <c r="G28" s="138">
        <f t="shared" si="9"/>
        <v>0.9187068406813359</v>
      </c>
      <c r="H28" s="115">
        <f>PRODUCT($D$12:D28)</f>
        <v>0.97101924835240661</v>
      </c>
      <c r="I28" s="115">
        <f t="shared" si="14"/>
        <v>0.89208202589460495</v>
      </c>
      <c r="J28" s="139">
        <f>$C$6*SUM(I27:$I$50)/(G27*H27)</f>
        <v>3529.2188441626868</v>
      </c>
      <c r="K28" s="140">
        <f t="shared" si="13"/>
        <v>3.2751442798938379E-3</v>
      </c>
      <c r="L28" s="115">
        <f t="shared" si="15"/>
        <v>3.0088974541568167E-3</v>
      </c>
      <c r="M28" s="141">
        <f t="shared" si="10"/>
        <v>6428.513809169136</v>
      </c>
      <c r="N28" s="141">
        <f t="shared" si="11"/>
        <v>2899.2949650064493</v>
      </c>
      <c r="O28" s="144">
        <v>0</v>
      </c>
      <c r="P28" s="143">
        <v>0</v>
      </c>
      <c r="Q28" s="144">
        <f t="shared" si="1"/>
        <v>2.7455714101812241</v>
      </c>
      <c r="R28" s="144">
        <f t="shared" si="2"/>
        <v>5.7985899300128985</v>
      </c>
      <c r="S28" s="144">
        <f t="shared" si="5"/>
        <v>170.72019405454</v>
      </c>
      <c r="T28" s="144">
        <f t="shared" si="6"/>
        <v>15.307354988603977</v>
      </c>
      <c r="U28" s="145">
        <f t="shared" si="12"/>
        <v>177.48338770294987</v>
      </c>
      <c r="V28" s="143">
        <f t="shared" si="3"/>
        <v>172.33978572235714</v>
      </c>
      <c r="W28" s="143">
        <f t="shared" si="4"/>
        <v>158.32974006468513</v>
      </c>
      <c r="X28" s="3">
        <f t="shared" si="7"/>
        <v>216.01810638474399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73">
        <v>0.5</v>
      </c>
      <c r="F29" s="173">
        <f t="shared" si="8"/>
        <v>0.5</v>
      </c>
      <c r="G29" s="138">
        <f t="shared" si="9"/>
        <v>0.91413615988192654</v>
      </c>
      <c r="H29" s="115">
        <f>PRODUCT($D$12:D29)</f>
        <v>0.96730639780222649</v>
      </c>
      <c r="I29" s="115">
        <f t="shared" si="14"/>
        <v>0.88424975591614652</v>
      </c>
      <c r="J29" s="139">
        <f>$C$6*SUM(I28:$I$50)/(G28*H28)</f>
        <v>3386.6756401129019</v>
      </c>
      <c r="K29" s="140">
        <f t="shared" si="13"/>
        <v>3.7128505501801135E-3</v>
      </c>
      <c r="L29" s="115">
        <f t="shared" si="15"/>
        <v>3.394050944157147E-3</v>
      </c>
      <c r="M29" s="141">
        <f t="shared" si="10"/>
        <v>6482.4474825801863</v>
      </c>
      <c r="N29" s="141">
        <f t="shared" si="11"/>
        <v>3095.7718424672844</v>
      </c>
      <c r="O29" s="144">
        <v>0</v>
      </c>
      <c r="P29" s="143">
        <v>0</v>
      </c>
      <c r="Q29" s="144">
        <f t="shared" si="1"/>
        <v>2.8004828383848488</v>
      </c>
      <c r="R29" s="144">
        <f t="shared" si="2"/>
        <v>6.1915436849345689</v>
      </c>
      <c r="S29" s="144">
        <f t="shared" si="5"/>
        <v>170.72019405454</v>
      </c>
      <c r="T29" s="144">
        <f t="shared" si="6"/>
        <v>16.287500049992524</v>
      </c>
      <c r="U29" s="145">
        <f t="shared" si="12"/>
        <v>178.01566758121311</v>
      </c>
      <c r="V29" s="143">
        <f t="shared" si="3"/>
        <v>172.19569416034184</v>
      </c>
      <c r="W29" s="143">
        <f t="shared" si="4"/>
        <v>157.41031060793759</v>
      </c>
      <c r="X29" s="3">
        <f t="shared" si="7"/>
        <v>218.72466134778665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73">
        <v>0.5</v>
      </c>
      <c r="F30" s="173">
        <f t="shared" si="8"/>
        <v>0.5</v>
      </c>
      <c r="G30" s="138">
        <f t="shared" si="9"/>
        <v>0.90958821878798668</v>
      </c>
      <c r="H30" s="115">
        <f>PRODUCT($D$12:D30)</f>
        <v>0.96309783319744502</v>
      </c>
      <c r="I30" s="115">
        <f t="shared" si="14"/>
        <v>0.87602244261663353</v>
      </c>
      <c r="J30" s="139">
        <f>$C$6*SUM(I29:$I$50)/(G29*H29)</f>
        <v>3244.4408724027849</v>
      </c>
      <c r="K30" s="140">
        <f t="shared" si="13"/>
        <v>4.2085646047814729E-3</v>
      </c>
      <c r="L30" s="115">
        <f t="shared" si="15"/>
        <v>3.8280607825173472E-3</v>
      </c>
      <c r="M30" s="141">
        <f t="shared" si="10"/>
        <v>6539.8659647059094</v>
      </c>
      <c r="N30" s="141">
        <f t="shared" si="11"/>
        <v>3295.4250923031245</v>
      </c>
      <c r="O30" s="144">
        <v>0</v>
      </c>
      <c r="P30" s="143">
        <v>0</v>
      </c>
      <c r="Q30" s="144">
        <f t="shared" si="1"/>
        <v>2.8564924951525454</v>
      </c>
      <c r="R30" s="144">
        <f t="shared" si="2"/>
        <v>6.5908501846062491</v>
      </c>
      <c r="S30" s="144">
        <f t="shared" si="5"/>
        <v>170.72019405454</v>
      </c>
      <c r="T30" s="144">
        <f t="shared" si="6"/>
        <v>17.283489718389532</v>
      </c>
      <c r="U30" s="145">
        <f t="shared" si="12"/>
        <v>178.55634109317077</v>
      </c>
      <c r="V30" s="143">
        <f t="shared" si="3"/>
        <v>171.96722521049668</v>
      </c>
      <c r="W30" s="143">
        <f t="shared" si="4"/>
        <v>156.41936206912823</v>
      </c>
      <c r="X30" s="3">
        <f t="shared" si="7"/>
        <v>221.35636182060654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73">
        <v>0.5</v>
      </c>
      <c r="F31" s="173">
        <f t="shared" si="8"/>
        <v>0.5</v>
      </c>
      <c r="G31" s="138">
        <f t="shared" si="9"/>
        <v>0.90506290426665348</v>
      </c>
      <c r="H31" s="115">
        <f>PRODUCT($D$12:D31)</f>
        <v>0.9584939744600528</v>
      </c>
      <c r="I31" s="115">
        <f t="shared" si="14"/>
        <v>0.86749734024690295</v>
      </c>
      <c r="J31" s="139">
        <f>$C$6*SUM(I30:$I$50)/(G30*H30)</f>
        <v>3102.5880472485524</v>
      </c>
      <c r="K31" s="140">
        <f t="shared" si="13"/>
        <v>4.6038587373922191E-3</v>
      </c>
      <c r="L31" s="115">
        <f t="shared" si="15"/>
        <v>4.16678175969761E-3</v>
      </c>
      <c r="M31" s="141">
        <f t="shared" si="10"/>
        <v>6601.2862247482699</v>
      </c>
      <c r="N31" s="141">
        <f t="shared" si="11"/>
        <v>3498.6981774997175</v>
      </c>
      <c r="O31" s="144">
        <v>0</v>
      </c>
      <c r="P31" s="143">
        <v>0</v>
      </c>
      <c r="Q31" s="144">
        <f t="shared" si="1"/>
        <v>2.9136223450555963</v>
      </c>
      <c r="R31" s="144">
        <f t="shared" si="2"/>
        <v>6.9973963549994354</v>
      </c>
      <c r="S31" s="144">
        <f t="shared" si="5"/>
        <v>170.72019405454</v>
      </c>
      <c r="T31" s="144">
        <f t="shared" si="6"/>
        <v>18.297536764271012</v>
      </c>
      <c r="U31" s="145">
        <f t="shared" si="12"/>
        <v>179.10671211875598</v>
      </c>
      <c r="V31" s="143">
        <f t="shared" si="3"/>
        <v>171.67270435117894</v>
      </c>
      <c r="W31" s="143">
        <f t="shared" si="4"/>
        <v>155.37459638338856</v>
      </c>
      <c r="X31" s="3">
        <f t="shared" si="7"/>
        <v>223.93317218727174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73">
        <v>0.5</v>
      </c>
      <c r="F32" s="173">
        <f t="shared" si="8"/>
        <v>0.5</v>
      </c>
      <c r="G32" s="138">
        <f t="shared" si="9"/>
        <v>0.90056010374791418</v>
      </c>
      <c r="H32" s="115">
        <f>PRODUCT($D$12:D32)</f>
        <v>0.95334846950538654</v>
      </c>
      <c r="I32" s="115">
        <f t="shared" si="14"/>
        <v>0.85854759660568614</v>
      </c>
      <c r="J32" s="139">
        <f>$C$6*SUM(I31:$I$50)/(G31*H31)</f>
        <v>2960.6800148265625</v>
      </c>
      <c r="K32" s="140">
        <f t="shared" si="13"/>
        <v>5.1455049546662579E-3</v>
      </c>
      <c r="L32" s="115">
        <f t="shared" si="15"/>
        <v>4.6338364758096518E-3</v>
      </c>
      <c r="M32" s="141">
        <f t="shared" si="10"/>
        <v>6666.1586321055702</v>
      </c>
      <c r="N32" s="141">
        <f t="shared" si="11"/>
        <v>3705.4786172790077</v>
      </c>
      <c r="O32" s="144">
        <v>0</v>
      </c>
      <c r="P32" s="143">
        <v>0</v>
      </c>
      <c r="Q32" s="144">
        <f t="shared" si="1"/>
        <v>2.9718947919567085</v>
      </c>
      <c r="R32" s="144">
        <f t="shared" si="2"/>
        <v>7.4109572345580155</v>
      </c>
      <c r="S32" s="144">
        <f t="shared" si="5"/>
        <v>170.72019405454</v>
      </c>
      <c r="T32" s="144">
        <f t="shared" si="6"/>
        <v>19.329079796535165</v>
      </c>
      <c r="U32" s="145">
        <f t="shared" si="12"/>
        <v>179.66642182456042</v>
      </c>
      <c r="V32" s="143">
        <f t="shared" si="3"/>
        <v>171.28470826795385</v>
      </c>
      <c r="W32" s="143">
        <f t="shared" si="4"/>
        <v>154.25217464821972</v>
      </c>
      <c r="X32" s="3">
        <f t="shared" si="7"/>
        <v>226.41575055292125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73">
        <v>0.5</v>
      </c>
      <c r="F33" s="173">
        <f t="shared" si="8"/>
        <v>0.5</v>
      </c>
      <c r="G33" s="138">
        <f t="shared" si="9"/>
        <v>0.89607970522180524</v>
      </c>
      <c r="H33" s="115">
        <f>PRODUCT($D$12:D33)</f>
        <v>0.94778226433062707</v>
      </c>
      <c r="I33" s="115">
        <f t="shared" si="14"/>
        <v>0.84928845203584336</v>
      </c>
      <c r="J33" s="139">
        <f>$C$6*SUM(I32:$I$50)/(G32*H32)</f>
        <v>2819.0431532091793</v>
      </c>
      <c r="K33" s="140">
        <f t="shared" si="13"/>
        <v>5.5662051747594754E-3</v>
      </c>
      <c r="L33" s="115">
        <f t="shared" si="15"/>
        <v>4.9877634922025574E-3</v>
      </c>
      <c r="M33" s="141">
        <f t="shared" si="10"/>
        <v>6735.6485602876528</v>
      </c>
      <c r="N33" s="141">
        <f t="shared" si="11"/>
        <v>3916.6054070784735</v>
      </c>
      <c r="O33" s="144">
        <v>0</v>
      </c>
      <c r="P33" s="143">
        <v>0</v>
      </c>
      <c r="Q33" s="144">
        <f t="shared" si="1"/>
        <v>3.0313326877958424</v>
      </c>
      <c r="R33" s="144">
        <f t="shared" si="2"/>
        <v>7.8332108141569474</v>
      </c>
      <c r="S33" s="144">
        <f t="shared" si="5"/>
        <v>170.72019405454</v>
      </c>
      <c r="T33" s="144">
        <f t="shared" si="6"/>
        <v>20.382305288155305</v>
      </c>
      <c r="U33" s="145">
        <f t="shared" si="12"/>
        <v>180.2379558407425</v>
      </c>
      <c r="V33" s="143">
        <f t="shared" si="3"/>
        <v>170.8263379050625</v>
      </c>
      <c r="W33" s="143">
        <f t="shared" si="4"/>
        <v>153.0740145140889</v>
      </c>
      <c r="X33" s="3">
        <f t="shared" si="7"/>
        <v>228.83040687354739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73">
        <v>0.5</v>
      </c>
      <c r="F34" s="173">
        <f t="shared" si="8"/>
        <v>0.5</v>
      </c>
      <c r="G34" s="138">
        <f t="shared" si="9"/>
        <v>0.89162159723562728</v>
      </c>
      <c r="H34" s="115">
        <f>PRODUCT($D$12:D34)</f>
        <v>0.94172175522327528</v>
      </c>
      <c r="I34" s="115">
        <f t="shared" si="14"/>
        <v>0.83965945554371513</v>
      </c>
      <c r="J34" s="139">
        <f>$C$6*SUM(I33:$I$50)/(G33*H33)</f>
        <v>2677.1956055301625</v>
      </c>
      <c r="K34" s="140">
        <f t="shared" si="13"/>
        <v>6.0605091073517858E-3</v>
      </c>
      <c r="L34" s="115">
        <f t="shared" si="15"/>
        <v>5.4036808103580646E-3</v>
      </c>
      <c r="M34" s="141">
        <f t="shared" si="10"/>
        <v>6809.0822018753342</v>
      </c>
      <c r="N34" s="141">
        <f t="shared" si="11"/>
        <v>4131.8865963451717</v>
      </c>
      <c r="O34" s="144">
        <v>0</v>
      </c>
      <c r="P34" s="143">
        <v>0</v>
      </c>
      <c r="Q34" s="144">
        <f t="shared" si="1"/>
        <v>3.0919593415517594</v>
      </c>
      <c r="R34" s="144">
        <f t="shared" si="2"/>
        <v>8.2637731926903442</v>
      </c>
      <c r="S34" s="144">
        <f t="shared" si="5"/>
        <v>170.72019405454</v>
      </c>
      <c r="T34" s="144">
        <f t="shared" si="6"/>
        <v>21.456255289327345</v>
      </c>
      <c r="U34" s="145">
        <f t="shared" si="12"/>
        <v>180.82071680962525</v>
      </c>
      <c r="V34" s="143">
        <f t="shared" si="3"/>
        <v>170.28280281469108</v>
      </c>
      <c r="W34" s="143">
        <f t="shared" si="4"/>
        <v>151.82782462739422</v>
      </c>
      <c r="X34" s="3">
        <f t="shared" si="7"/>
        <v>231.15354123226521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73">
        <v>0.5</v>
      </c>
      <c r="F35" s="173">
        <f t="shared" si="8"/>
        <v>0.5</v>
      </c>
      <c r="G35" s="138">
        <f t="shared" si="9"/>
        <v>0.88718566889117134</v>
      </c>
      <c r="H35" s="115">
        <f>PRODUCT($D$12:D35)</f>
        <v>0.93514321995631577</v>
      </c>
      <c r="I35" s="115">
        <f t="shared" si="14"/>
        <v>0.82964566310598775</v>
      </c>
      <c r="J35" s="139">
        <f>$C$6*SUM(I34:$I$50)/(G34*H34)</f>
        <v>2535.2190203105588</v>
      </c>
      <c r="K35" s="140">
        <f t="shared" si="13"/>
        <v>6.5785352669595065E-3</v>
      </c>
      <c r="L35" s="115">
        <f t="shared" si="15"/>
        <v>5.8363822111416304E-3</v>
      </c>
      <c r="M35" s="141">
        <f t="shared" si="10"/>
        <v>6887.1669875626631</v>
      </c>
      <c r="N35" s="141">
        <f t="shared" si="11"/>
        <v>4351.9479672521047</v>
      </c>
      <c r="O35" s="144">
        <v>0</v>
      </c>
      <c r="P35" s="143">
        <v>0</v>
      </c>
      <c r="Q35" s="144">
        <f t="shared" si="1"/>
        <v>3.1537985283827941</v>
      </c>
      <c r="R35" s="144">
        <f t="shared" si="2"/>
        <v>8.7038959345042102</v>
      </c>
      <c r="S35" s="144">
        <f t="shared" si="5"/>
        <v>170.72019405454</v>
      </c>
      <c r="T35" s="144">
        <f t="shared" si="6"/>
        <v>22.554052334218788</v>
      </c>
      <c r="U35" s="145">
        <f t="shared" si="12"/>
        <v>181.4165519258718</v>
      </c>
      <c r="V35" s="143">
        <f t="shared" si="3"/>
        <v>169.65045852133193</v>
      </c>
      <c r="W35" s="143">
        <f t="shared" si="4"/>
        <v>150.51145552094178</v>
      </c>
      <c r="X35" s="3">
        <f t="shared" si="7"/>
        <v>233.3757131857403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73">
        <v>0.5</v>
      </c>
      <c r="F36" s="173">
        <f t="shared" si="8"/>
        <v>0.5</v>
      </c>
      <c r="G36" s="138">
        <f t="shared" si="9"/>
        <v>0.8827718098419618</v>
      </c>
      <c r="H36" s="115">
        <f>PRODUCT($D$12:D36)</f>
        <v>0.92768528834132047</v>
      </c>
      <c r="I36" s="115">
        <f t="shared" si="14"/>
        <v>0.81893442095282964</v>
      </c>
      <c r="J36" s="139">
        <f>$C$6*SUM(I35:$I$50)/(G35*H35)</f>
        <v>2393.0382395481156</v>
      </c>
      <c r="K36" s="140">
        <f t="shared" si="13"/>
        <v>7.4579316149953057E-3</v>
      </c>
      <c r="L36" s="115">
        <f t="shared" si="15"/>
        <v>6.5836517894469907E-3</v>
      </c>
      <c r="M36" s="141">
        <f t="shared" si="10"/>
        <v>6970.2948381190399</v>
      </c>
      <c r="N36" s="141">
        <f t="shared" si="11"/>
        <v>4577.2565985709243</v>
      </c>
      <c r="O36" s="144">
        <v>0</v>
      </c>
      <c r="P36" s="143">
        <v>0</v>
      </c>
      <c r="Q36" s="144">
        <f t="shared" si="1"/>
        <v>3.2168744989504501</v>
      </c>
      <c r="R36" s="144">
        <f t="shared" si="2"/>
        <v>9.1545131971418492</v>
      </c>
      <c r="S36" s="144">
        <f t="shared" si="5"/>
        <v>170.72019405454</v>
      </c>
      <c r="T36" s="144">
        <f t="shared" si="6"/>
        <v>23.678027024646862</v>
      </c>
      <c r="U36" s="145">
        <f t="shared" si="12"/>
        <v>182.02683338309456</v>
      </c>
      <c r="V36" s="143">
        <f t="shared" si="3"/>
        <v>168.86361541285356</v>
      </c>
      <c r="W36" s="143">
        <f t="shared" si="4"/>
        <v>149.06803939446172</v>
      </c>
      <c r="X36" s="3">
        <f t="shared" si="7"/>
        <v>235.40059863979371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73">
        <v>0.5</v>
      </c>
      <c r="F37" s="173">
        <f t="shared" si="8"/>
        <v>0.5</v>
      </c>
      <c r="G37" s="138">
        <f t="shared" si="9"/>
        <v>0.87837991029050932</v>
      </c>
      <c r="H37" s="115">
        <f>PRODUCT($D$12:D37)</f>
        <v>0.91935247309226886</v>
      </c>
      <c r="I37" s="115">
        <f t="shared" si="14"/>
        <v>0.80754074284014499</v>
      </c>
      <c r="J37" s="139">
        <f>$C$6*SUM(I36:$I$50)/(G36*H36)</f>
        <v>2251.3848255892503</v>
      </c>
      <c r="K37" s="140">
        <f t="shared" si="13"/>
        <v>8.3328152490516061E-3</v>
      </c>
      <c r="L37" s="115">
        <f t="shared" si="15"/>
        <v>7.3193775109293381E-3</v>
      </c>
      <c r="M37" s="141">
        <f t="shared" si="10"/>
        <v>7061.4627191846985</v>
      </c>
      <c r="N37" s="141">
        <f t="shared" si="11"/>
        <v>4810.0778935954477</v>
      </c>
      <c r="O37" s="144">
        <v>0</v>
      </c>
      <c r="P37" s="143">
        <v>0</v>
      </c>
      <c r="Q37" s="144">
        <f t="shared" si="1"/>
        <v>3.2812119889294591</v>
      </c>
      <c r="R37" s="144">
        <f t="shared" si="2"/>
        <v>9.620155787190896</v>
      </c>
      <c r="S37" s="144">
        <f t="shared" si="5"/>
        <v>170.72019405454</v>
      </c>
      <c r="T37" s="144">
        <f t="shared" si="6"/>
        <v>24.839483599369338</v>
      </c>
      <c r="U37" s="145">
        <f t="shared" si="12"/>
        <v>182.65830987778898</v>
      </c>
      <c r="V37" s="143">
        <f t="shared" si="3"/>
        <v>167.92736891699931</v>
      </c>
      <c r="W37" s="143">
        <f t="shared" si="4"/>
        <v>147.50402724463513</v>
      </c>
      <c r="X37" s="3">
        <f t="shared" si="7"/>
        <v>237.22683913856687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73">
        <v>0.5</v>
      </c>
      <c r="F38" s="173">
        <f t="shared" si="8"/>
        <v>0.5</v>
      </c>
      <c r="G38" s="138">
        <f t="shared" si="9"/>
        <v>0.87400986098558153</v>
      </c>
      <c r="H38" s="115">
        <f>PRODUCT($D$12:D38)</f>
        <v>0.9102993702325356</v>
      </c>
      <c r="I38" s="115">
        <f t="shared" si="14"/>
        <v>0.7956106260322009</v>
      </c>
      <c r="J38" s="139">
        <f>$C$6*SUM(I37:$I$50)/(G37*H37)</f>
        <v>2110.0209498162849</v>
      </c>
      <c r="K38" s="140">
        <f t="shared" si="13"/>
        <v>9.0531028597332641E-3</v>
      </c>
      <c r="L38" s="115">
        <f t="shared" si="15"/>
        <v>7.9125011719236409E-3</v>
      </c>
      <c r="M38" s="141">
        <f t="shared" si="10"/>
        <v>7161.0936467143074</v>
      </c>
      <c r="N38" s="141">
        <f t="shared" si="11"/>
        <v>5051.0726968980225</v>
      </c>
      <c r="O38" s="144">
        <v>0</v>
      </c>
      <c r="P38" s="143">
        <v>0</v>
      </c>
      <c r="Q38" s="144">
        <f t="shared" si="1"/>
        <v>3.3468362287080486</v>
      </c>
      <c r="R38" s="144">
        <f t="shared" si="2"/>
        <v>10.102145393796045</v>
      </c>
      <c r="S38" s="144">
        <f t="shared" si="5"/>
        <v>170.72019405454</v>
      </c>
      <c r="T38" s="144">
        <f t="shared" si="6"/>
        <v>26.041719546650292</v>
      </c>
      <c r="U38" s="145">
        <f t="shared" si="12"/>
        <v>183.31293197868621</v>
      </c>
      <c r="V38" s="143">
        <f t="shared" si="3"/>
        <v>166.8696465356777</v>
      </c>
      <c r="W38" s="143">
        <f t="shared" si="4"/>
        <v>145.84571657136078</v>
      </c>
      <c r="X38" s="3">
        <f t="shared" si="7"/>
        <v>238.88591497881171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73">
        <v>0.5</v>
      </c>
      <c r="F39" s="173">
        <f t="shared" si="8"/>
        <v>0.5</v>
      </c>
      <c r="G39" s="138">
        <f t="shared" si="9"/>
        <v>0.86966155321948435</v>
      </c>
      <c r="H39" s="115">
        <f>PRODUCT($D$12:D39)</f>
        <v>0.90062735185070897</v>
      </c>
      <c r="I39" s="115">
        <f t="shared" si="14"/>
        <v>0.78324098168243861</v>
      </c>
      <c r="J39" s="139">
        <f>$C$6*SUM(I38:$I$50)/(G38*H38)</f>
        <v>1968.38041330397</v>
      </c>
      <c r="K39" s="140">
        <f t="shared" si="13"/>
        <v>9.6720183818266303E-3</v>
      </c>
      <c r="L39" s="115">
        <f t="shared" si="15"/>
        <v>8.4113825287067505E-3</v>
      </c>
      <c r="M39" s="141">
        <f t="shared" si="10"/>
        <v>7268.473665133607</v>
      </c>
      <c r="N39" s="141">
        <f t="shared" si="11"/>
        <v>5300.0932518296368</v>
      </c>
      <c r="O39" s="144">
        <v>0</v>
      </c>
      <c r="P39" s="143">
        <v>0</v>
      </c>
      <c r="Q39" s="144">
        <f t="shared" si="1"/>
        <v>3.413772953282209</v>
      </c>
      <c r="R39" s="144">
        <f t="shared" si="2"/>
        <v>10.600186503659273</v>
      </c>
      <c r="S39" s="144">
        <f t="shared" si="5"/>
        <v>170.72019405454</v>
      </c>
      <c r="T39" s="144">
        <f t="shared" si="6"/>
        <v>27.283997432136175</v>
      </c>
      <c r="U39" s="145">
        <f t="shared" si="12"/>
        <v>183.9902320297347</v>
      </c>
      <c r="V39" s="143">
        <f t="shared" si="3"/>
        <v>165.70663543933745</v>
      </c>
      <c r="W39" s="143">
        <f t="shared" si="4"/>
        <v>144.10868995494906</v>
      </c>
      <c r="X39" s="3">
        <f t="shared" si="7"/>
        <v>240.3941840780337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73">
        <v>0.5</v>
      </c>
      <c r="F40" s="173">
        <f t="shared" si="8"/>
        <v>0.5</v>
      </c>
      <c r="G40" s="138">
        <f t="shared" si="9"/>
        <v>0.86533487882535765</v>
      </c>
      <c r="H40" s="115">
        <f>PRODUCT($D$12:D40)</f>
        <v>0.8902412966293034</v>
      </c>
      <c r="I40" s="115">
        <f t="shared" si="14"/>
        <v>0.77035684454404751</v>
      </c>
      <c r="J40" s="139">
        <f>$C$6*SUM(I39:$I$50)/(G39*H39)</f>
        <v>1826.0504823917724</v>
      </c>
      <c r="K40" s="140">
        <f t="shared" si="13"/>
        <v>1.0386055221405566E-2</v>
      </c>
      <c r="L40" s="115">
        <f t="shared" si="15"/>
        <v>8.9874158364884587E-3</v>
      </c>
      <c r="M40" s="141">
        <f t="shared" si="10"/>
        <v>7383.2639229290917</v>
      </c>
      <c r="N40" s="141">
        <f t="shared" si="11"/>
        <v>5557.213440537319</v>
      </c>
      <c r="O40" s="144">
        <v>0</v>
      </c>
      <c r="P40" s="143">
        <v>0</v>
      </c>
      <c r="Q40" s="144">
        <f t="shared" si="1"/>
        <v>3.4820484123478539</v>
      </c>
      <c r="R40" s="144">
        <f t="shared" si="2"/>
        <v>11.114426881074639</v>
      </c>
      <c r="S40" s="144">
        <f t="shared" si="5"/>
        <v>170.72019405454</v>
      </c>
      <c r="T40" s="144">
        <f t="shared" si="6"/>
        <v>28.566685796492184</v>
      </c>
      <c r="U40" s="145">
        <f t="shared" si="12"/>
        <v>184.69040455760967</v>
      </c>
      <c r="V40" s="143">
        <f t="shared" si="3"/>
        <v>164.41902522835704</v>
      </c>
      <c r="W40" s="143">
        <f t="shared" si="4"/>
        <v>142.27751727256376</v>
      </c>
      <c r="X40" s="3">
        <f t="shared" si="7"/>
        <v>241.71688307635364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73">
        <v>0.5</v>
      </c>
      <c r="F41" s="173">
        <f t="shared" si="8"/>
        <v>0.5</v>
      </c>
      <c r="G41" s="138">
        <f t="shared" si="9"/>
        <v>0.86102973017448536</v>
      </c>
      <c r="H41" s="115">
        <f>PRODUCT($D$12:D41)</f>
        <v>0.8788272245150891</v>
      </c>
      <c r="I41" s="115">
        <f t="shared" si="14"/>
        <v>0.75669636799421902</v>
      </c>
      <c r="J41" s="139">
        <f>$C$6*SUM(I40:$I$50)/(G40*H40)</f>
        <v>1683.0155131720849</v>
      </c>
      <c r="K41" s="140">
        <f t="shared" si="13"/>
        <v>1.1414072114214302E-2</v>
      </c>
      <c r="L41" s="115">
        <f t="shared" si="15"/>
        <v>9.8278554326940576E-3</v>
      </c>
      <c r="M41" s="141">
        <f t="shared" si="10"/>
        <v>7506.7482348887743</v>
      </c>
      <c r="N41" s="141">
        <f t="shared" si="11"/>
        <v>5823.7327217166894</v>
      </c>
      <c r="O41" s="144">
        <v>0</v>
      </c>
      <c r="P41" s="143">
        <v>0</v>
      </c>
      <c r="Q41" s="144">
        <f t="shared" si="1"/>
        <v>3.5516893805948104</v>
      </c>
      <c r="R41" s="144">
        <f t="shared" si="2"/>
        <v>11.647465443433379</v>
      </c>
      <c r="S41" s="144">
        <f t="shared" si="5"/>
        <v>170.72019405454</v>
      </c>
      <c r="T41" s="144">
        <f t="shared" si="6"/>
        <v>29.896268804736007</v>
      </c>
      <c r="U41" s="145">
        <f t="shared" si="12"/>
        <v>185.4173080352478</v>
      </c>
      <c r="V41" s="143">
        <f t="shared" si="3"/>
        <v>162.94977819767615</v>
      </c>
      <c r="W41" s="143">
        <f t="shared" si="4"/>
        <v>140.30460355353733</v>
      </c>
      <c r="X41" s="3">
        <f t="shared" si="7"/>
        <v>242.7613528943408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73">
        <v>0.5</v>
      </c>
      <c r="F42" s="173">
        <f t="shared" si="8"/>
        <v>0.5</v>
      </c>
      <c r="G42" s="138">
        <f t="shared" si="9"/>
        <v>0.85674600017361746</v>
      </c>
      <c r="H42" s="115">
        <f>PRODUCT($D$12:D42)</f>
        <v>0.86652907391420675</v>
      </c>
      <c r="I42" s="115">
        <f t="shared" si="14"/>
        <v>0.74239531811014559</v>
      </c>
      <c r="J42" s="139">
        <f>$C$6*SUM(I41:$I$50)/(G41*H41)</f>
        <v>1539.5964607867993</v>
      </c>
      <c r="K42" s="140">
        <f t="shared" si="13"/>
        <v>1.2298150600882352E-2</v>
      </c>
      <c r="L42" s="115">
        <f t="shared" si="15"/>
        <v>1.0536391336838724E-2</v>
      </c>
      <c r="M42" s="141">
        <f t="shared" si="10"/>
        <v>7642.2659439270556</v>
      </c>
      <c r="N42" s="141">
        <f t="shared" si="11"/>
        <v>6102.6694831402565</v>
      </c>
      <c r="O42" s="144">
        <v>0</v>
      </c>
      <c r="P42" s="143">
        <v>0</v>
      </c>
      <c r="Q42" s="144">
        <f t="shared" si="1"/>
        <v>3.6227231682067069</v>
      </c>
      <c r="R42" s="144">
        <f t="shared" si="2"/>
        <v>12.205338966280513</v>
      </c>
      <c r="S42" s="144">
        <f t="shared" si="5"/>
        <v>170.72019405454</v>
      </c>
      <c r="T42" s="144">
        <f t="shared" si="6"/>
        <v>31.287808075301545</v>
      </c>
      <c r="U42" s="145">
        <f t="shared" si="12"/>
        <v>186.17993999535432</v>
      </c>
      <c r="V42" s="143">
        <f t="shared" si="3"/>
        <v>161.33033098557695</v>
      </c>
      <c r="W42" s="143">
        <f t="shared" si="4"/>
        <v>138.21911577857887</v>
      </c>
      <c r="X42" s="3">
        <f t="shared" si="7"/>
        <v>243.56375418397002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73">
        <v>0.5</v>
      </c>
      <c r="F43" s="173">
        <f t="shared" si="8"/>
        <v>0.5</v>
      </c>
      <c r="G43" s="138">
        <f t="shared" si="9"/>
        <v>0.85248358226230603</v>
      </c>
      <c r="H43" s="115">
        <f>PRODUCT($D$12:D43)</f>
        <v>0.85284713256814604</v>
      </c>
      <c r="I43" s="115">
        <f t="shared" si="14"/>
        <v>0.72703817869382892</v>
      </c>
      <c r="J43" s="139">
        <f>$C$6*SUM(I42:$I$50)/(G42*H42)</f>
        <v>1395.2454628978498</v>
      </c>
      <c r="K43" s="140">
        <f t="shared" si="13"/>
        <v>1.3681941346060711E-2</v>
      </c>
      <c r="L43" s="115">
        <f t="shared" si="15"/>
        <v>1.1663630370992592E-2</v>
      </c>
      <c r="M43" s="141">
        <f t="shared" si="10"/>
        <v>7789.4818864651534</v>
      </c>
      <c r="N43" s="141">
        <f t="shared" si="11"/>
        <v>6394.2364235673031</v>
      </c>
      <c r="O43" s="144">
        <v>0</v>
      </c>
      <c r="P43" s="143">
        <v>0</v>
      </c>
      <c r="Q43" s="144">
        <f t="shared" si="1"/>
        <v>3.6951776315708402</v>
      </c>
      <c r="R43" s="144">
        <f t="shared" si="2"/>
        <v>12.788472847134607</v>
      </c>
      <c r="S43" s="144">
        <f t="shared" si="5"/>
        <v>170.72019405454</v>
      </c>
      <c r="T43" s="144">
        <f t="shared" si="6"/>
        <v>32.742364835715691</v>
      </c>
      <c r="U43" s="145">
        <f t="shared" si="12"/>
        <v>186.97890841155026</v>
      </c>
      <c r="V43" s="143">
        <f t="shared" si="3"/>
        <v>159.46442588951265</v>
      </c>
      <c r="W43" s="143">
        <f t="shared" si="4"/>
        <v>135.94080502569378</v>
      </c>
      <c r="X43" s="3">
        <f t="shared" si="7"/>
        <v>243.96712451842416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73">
        <v>0.5</v>
      </c>
      <c r="F44" s="173">
        <f t="shared" si="8"/>
        <v>0.5</v>
      </c>
      <c r="G44" s="138">
        <f t="shared" si="9"/>
        <v>0.84824237041025496</v>
      </c>
      <c r="H44" s="115">
        <f>PRODUCT($D$12:D44)</f>
        <v>0.83792936449023636</v>
      </c>
      <c r="I44" s="115">
        <f t="shared" si="14"/>
        <v>0.71076719037155667</v>
      </c>
      <c r="J44" s="139">
        <f>$C$6*SUM(I43:$I$50)/(G43*H43)</f>
        <v>1250.3907678274402</v>
      </c>
      <c r="K44" s="140">
        <f t="shared" si="13"/>
        <v>1.4917768077909677E-2</v>
      </c>
      <c r="L44" s="115">
        <f t="shared" si="15"/>
        <v>1.2653882955636537E-2</v>
      </c>
      <c r="M44" s="141">
        <f t="shared" si="10"/>
        <v>7954.0181691762364</v>
      </c>
      <c r="N44" s="141">
        <f t="shared" si="11"/>
        <v>6703.6274013487964</v>
      </c>
      <c r="O44" s="144">
        <v>0</v>
      </c>
      <c r="P44" s="143">
        <v>0</v>
      </c>
      <c r="Q44" s="144">
        <f t="shared" si="1"/>
        <v>3.7690811842022578</v>
      </c>
      <c r="R44" s="144">
        <f t="shared" si="2"/>
        <v>13.407254802697594</v>
      </c>
      <c r="S44" s="144">
        <f t="shared" si="5"/>
        <v>170.72019405454</v>
      </c>
      <c r="T44" s="144">
        <f t="shared" si="6"/>
        <v>34.285856297082184</v>
      </c>
      <c r="U44" s="145">
        <f t="shared" si="12"/>
        <v>187.82971436472232</v>
      </c>
      <c r="V44" s="143">
        <f t="shared" si="3"/>
        <v>157.3880331900144</v>
      </c>
      <c r="W44" s="143">
        <f t="shared" si="4"/>
        <v>133.5031983473057</v>
      </c>
      <c r="X44" s="3">
        <f t="shared" si="7"/>
        <v>244.01136885217286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73">
        <v>0.5</v>
      </c>
      <c r="F45" s="173">
        <f t="shared" si="8"/>
        <v>0.5</v>
      </c>
      <c r="G45" s="138">
        <f t="shared" si="9"/>
        <v>0.84402225911468165</v>
      </c>
      <c r="H45" s="115">
        <f>PRODUCT($D$12:D45)</f>
        <v>0.82182462496197961</v>
      </c>
      <c r="I45" s="115">
        <f t="shared" si="14"/>
        <v>0.69363827655648602</v>
      </c>
      <c r="J45" s="139">
        <f>$C$6*SUM(I44:$I$50)/(G44*H44)</f>
        <v>1104.3865532606089</v>
      </c>
      <c r="K45" s="140">
        <f t="shared" si="13"/>
        <v>1.6104739528256751E-2</v>
      </c>
      <c r="L45" s="115">
        <f t="shared" si="15"/>
        <v>1.3592758639092775E-2</v>
      </c>
      <c r="M45" s="141">
        <f t="shared" si="10"/>
        <v>8136.1027370896109</v>
      </c>
      <c r="N45" s="141">
        <f t="shared" si="11"/>
        <v>7031.7161838290021</v>
      </c>
      <c r="O45" s="144">
        <v>0</v>
      </c>
      <c r="P45" s="143">
        <v>0</v>
      </c>
      <c r="Q45" s="144">
        <f t="shared" si="1"/>
        <v>3.8444628078863032</v>
      </c>
      <c r="R45" s="144">
        <f t="shared" si="2"/>
        <v>14.063432367658004</v>
      </c>
      <c r="S45" s="144">
        <f t="shared" si="5"/>
        <v>170.72019405454</v>
      </c>
      <c r="T45" s="144">
        <f t="shared" si="6"/>
        <v>35.922642413539997</v>
      </c>
      <c r="U45" s="145">
        <f t="shared" si="12"/>
        <v>188.73494129253567</v>
      </c>
      <c r="V45" s="143">
        <f t="shared" si="3"/>
        <v>155.10702234495938</v>
      </c>
      <c r="W45" s="143">
        <f t="shared" si="4"/>
        <v>130.91377940414401</v>
      </c>
      <c r="X45" s="3">
        <f t="shared" si="7"/>
        <v>243.6916636244911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73">
        <v>0.5</v>
      </c>
      <c r="F46" s="173">
        <f t="shared" si="8"/>
        <v>0.5</v>
      </c>
      <c r="G46" s="138">
        <f t="shared" si="9"/>
        <v>0.83982314339769315</v>
      </c>
      <c r="H46" s="115">
        <f>PRODUCT($D$12:D46)</f>
        <v>0.8049872230623708</v>
      </c>
      <c r="I46" s="115">
        <f t="shared" si="14"/>
        <v>0.67604690006722024</v>
      </c>
      <c r="J46" s="139">
        <f>$C$6*SUM(I45:$I$50)/(G45*H45)</f>
        <v>956.72259923691911</v>
      </c>
      <c r="K46" s="140">
        <f t="shared" si="13"/>
        <v>1.6837401899608806E-2</v>
      </c>
      <c r="L46" s="115">
        <f t="shared" si="15"/>
        <v>1.4140439789979758E-2</v>
      </c>
      <c r="M46" s="141">
        <f t="shared" si="10"/>
        <v>8337.018123803884</v>
      </c>
      <c r="N46" s="141">
        <f t="shared" si="11"/>
        <v>7380.2955245669646</v>
      </c>
      <c r="O46" s="144">
        <v>0</v>
      </c>
      <c r="P46" s="143">
        <v>0</v>
      </c>
      <c r="Q46" s="144">
        <f t="shared" si="1"/>
        <v>3.9213520640440289</v>
      </c>
      <c r="R46" s="144">
        <f t="shared" si="2"/>
        <v>14.760591049133929</v>
      </c>
      <c r="S46" s="144">
        <f t="shared" si="5"/>
        <v>170.72019405454</v>
      </c>
      <c r="T46" s="144">
        <f t="shared" si="6"/>
        <v>37.661668877541636</v>
      </c>
      <c r="U46" s="145">
        <f t="shared" si="12"/>
        <v>189.69991981890371</v>
      </c>
      <c r="V46" s="143">
        <f t="shared" si="3"/>
        <v>152.70601167017369</v>
      </c>
      <c r="W46" s="143">
        <f t="shared" si="4"/>
        <v>128.24604273657008</v>
      </c>
      <c r="X46" s="3">
        <f t="shared" si="7"/>
        <v>243.12868766919755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73">
        <v>0.5</v>
      </c>
      <c r="F47" s="173">
        <f t="shared" si="8"/>
        <v>0.5</v>
      </c>
      <c r="G47" s="138">
        <f t="shared" si="9"/>
        <v>0.83564491880367509</v>
      </c>
      <c r="H47" s="115">
        <f>PRODUCT($D$12:D47)</f>
        <v>0.78745298475606429</v>
      </c>
      <c r="I47" s="115">
        <f t="shared" si="14"/>
        <v>0.65803108550819289</v>
      </c>
      <c r="J47" s="209">
        <f>$C$6*SUM(I46:$I$50)/(G46*H46)</f>
        <v>806.45492738114501</v>
      </c>
      <c r="K47" s="140">
        <f t="shared" si="13"/>
        <v>1.7534238306306515E-2</v>
      </c>
      <c r="L47" s="115">
        <f t="shared" si="15"/>
        <v>1.4652397145757797E-2</v>
      </c>
      <c r="M47" s="210">
        <f>$C$3*$G$51*$H$51/(I46)</f>
        <v>8553.9551803883951</v>
      </c>
      <c r="N47" s="210">
        <f t="shared" si="11"/>
        <v>7747.5002530072497</v>
      </c>
      <c r="O47" s="144">
        <v>0</v>
      </c>
      <c r="P47" s="143">
        <v>0</v>
      </c>
      <c r="Q47" s="144">
        <f t="shared" si="1"/>
        <v>3.9997791053249094</v>
      </c>
      <c r="R47" s="212">
        <f t="shared" si="2"/>
        <v>15.495000506014501</v>
      </c>
      <c r="S47" s="144">
        <f t="shared" si="5"/>
        <v>170.72019405454</v>
      </c>
      <c r="T47" s="144">
        <f t="shared" si="6"/>
        <v>39.493628337252254</v>
      </c>
      <c r="U47" s="178">
        <f t="shared" si="12"/>
        <v>190.71904278045287</v>
      </c>
      <c r="V47" s="154">
        <f t="shared" si="3"/>
        <v>150.18227948728713</v>
      </c>
      <c r="W47" s="143">
        <f t="shared" si="4"/>
        <v>125.4990587479049</v>
      </c>
      <c r="X47" s="3">
        <f t="shared" si="7"/>
        <v>242.30904301593785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73">
        <v>0.5</v>
      </c>
      <c r="F48" s="173">
        <f t="shared" si="8"/>
        <v>0.5</v>
      </c>
      <c r="G48" s="138">
        <f>(1+E48/100)^(-B48)</f>
        <v>0.83148748139669182</v>
      </c>
      <c r="H48" s="115">
        <f>PRODUCT($D$12:D48)</f>
        <v>0.76906958583212903</v>
      </c>
      <c r="I48" s="115">
        <f>H48*G48</f>
        <v>0.63947173294235382</v>
      </c>
      <c r="J48" s="209">
        <f>$C$6*SUM(I47:$I$50)/(G47*H47)</f>
        <v>653.1401102405232</v>
      </c>
      <c r="K48" s="140">
        <f>H47-H48</f>
        <v>1.8383398923935257E-2</v>
      </c>
      <c r="L48" s="115">
        <f>K48*G48</f>
        <v>1.5285566070773582E-2</v>
      </c>
      <c r="M48" s="210">
        <f t="shared" si="10"/>
        <v>8788.1484786534675</v>
      </c>
      <c r="N48" s="210">
        <f>M48-J48</f>
        <v>8135.008368412944</v>
      </c>
      <c r="O48" s="144">
        <v>0</v>
      </c>
      <c r="P48" s="143">
        <v>0</v>
      </c>
      <c r="Q48" s="144">
        <f t="shared" si="1"/>
        <v>4.0797746874314074</v>
      </c>
      <c r="R48" s="212">
        <f t="shared" si="2"/>
        <v>16.270016736825887</v>
      </c>
      <c r="S48" s="144">
        <f t="shared" si="5"/>
        <v>170.72019405454</v>
      </c>
      <c r="T48" s="144">
        <f t="shared" si="6"/>
        <v>41.426893855216129</v>
      </c>
      <c r="U48" s="178">
        <f t="shared" si="12"/>
        <v>191.79729648549883</v>
      </c>
      <c r="V48" s="154">
        <f t="shared" si="3"/>
        <v>147.50546737182464</v>
      </c>
      <c r="W48" s="154">
        <f t="shared" si="4"/>
        <v>122.64894955724037</v>
      </c>
      <c r="X48" s="3">
        <f t="shared" si="7"/>
        <v>241.17367862039328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73">
        <v>0.5</v>
      </c>
      <c r="F49" s="173">
        <f>B49*E49-B48*E48</f>
        <v>0.5</v>
      </c>
      <c r="G49" s="138">
        <f>(1+E49/100)^(-B49)</f>
        <v>0.8273507277579023</v>
      </c>
      <c r="H49" s="115">
        <f>PRODUCT($D$12:D49)</f>
        <v>0.74962933870011328</v>
      </c>
      <c r="I49" s="115">
        <f t="shared" ref="I49:I51" si="16">H49*G49</f>
        <v>0.62020637892221375</v>
      </c>
      <c r="J49" s="209">
        <f>$C$6*SUM(I48:$I$50)/(G48*H48)</f>
        <v>496.42116260243006</v>
      </c>
      <c r="K49" s="140">
        <f t="shared" ref="K49:K51" si="17">H48-H49</f>
        <v>1.9440247132015753E-2</v>
      </c>
      <c r="L49" s="115">
        <f>K49*G49</f>
        <v>1.6083902612466706E-2</v>
      </c>
      <c r="M49" s="210">
        <f t="shared" si="10"/>
        <v>9043.2064235383823</v>
      </c>
      <c r="N49" s="210">
        <f t="shared" ref="N49:N52" si="18">M49-J49</f>
        <v>8546.7852609359525</v>
      </c>
      <c r="O49" s="144">
        <v>0</v>
      </c>
      <c r="P49" s="143">
        <v>0</v>
      </c>
      <c r="Q49" s="144">
        <f t="shared" si="1"/>
        <v>4.1613701811800361</v>
      </c>
      <c r="R49" s="212">
        <f t="shared" si="2"/>
        <v>17.093570521871904</v>
      </c>
      <c r="S49" s="144">
        <f t="shared" si="5"/>
        <v>170.72019405454</v>
      </c>
      <c r="T49" s="144">
        <f t="shared" si="6"/>
        <v>43.481252571437203</v>
      </c>
      <c r="U49" s="178">
        <f t="shared" si="12"/>
        <v>192.94650592292527</v>
      </c>
      <c r="V49" s="154">
        <f t="shared" si="3"/>
        <v>144.63836163949995</v>
      </c>
      <c r="W49" s="154">
        <f t="shared" si="4"/>
        <v>119.66665376415094</v>
      </c>
      <c r="X49" s="3">
        <f t="shared" si="7"/>
        <v>239.6492878180749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73">
        <v>0.5</v>
      </c>
      <c r="F50" s="173">
        <f t="shared" si="8"/>
        <v>0.5</v>
      </c>
      <c r="G50" s="138">
        <f>(1+E50/100)^(-B50)</f>
        <v>0.82323455498298748</v>
      </c>
      <c r="H50" s="171">
        <f>PRODUCT($D$12:D50)</f>
        <v>0.72856693040883636</v>
      </c>
      <c r="I50" s="115">
        <f t="shared" si="16"/>
        <v>0.59978147273043958</v>
      </c>
      <c r="J50" s="209">
        <f>$C$6*SUM(I49:$I$50)/(G49*H49)</f>
        <v>335.81815643409305</v>
      </c>
      <c r="K50" s="140">
        <f t="shared" si="17"/>
        <v>2.1062408291276924E-2</v>
      </c>
      <c r="L50" s="115">
        <f>K50*G50</f>
        <v>1.7339302316539344E-2</v>
      </c>
      <c r="M50" s="210">
        <f t="shared" si="10"/>
        <v>9324.1138426613998</v>
      </c>
      <c r="N50" s="210">
        <f t="shared" si="18"/>
        <v>8988.2956862273059</v>
      </c>
      <c r="O50" s="144">
        <v>0</v>
      </c>
      <c r="P50" s="143">
        <v>0</v>
      </c>
      <c r="Q50" s="144">
        <f t="shared" si="1"/>
        <v>4.2445975848036372</v>
      </c>
      <c r="R50" s="212">
        <f t="shared" si="2"/>
        <v>17.976591372454614</v>
      </c>
      <c r="S50" s="144">
        <f t="shared" si="5"/>
        <v>170.72019405454</v>
      </c>
      <c r="T50" s="144">
        <f t="shared" si="6"/>
        <v>45.683973456622937</v>
      </c>
      <c r="U50" s="178">
        <f t="shared" si="12"/>
        <v>194.18297855390469</v>
      </c>
      <c r="V50" s="154">
        <f t="shared" si="3"/>
        <v>141.47529662266325</v>
      </c>
      <c r="W50" s="154">
        <f t="shared" si="4"/>
        <v>116.46735285624433</v>
      </c>
      <c r="X50" s="3">
        <f t="shared" si="7"/>
        <v>237.54403063059993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73">
        <v>0.5</v>
      </c>
      <c r="F51" s="173">
        <f t="shared" si="8"/>
        <v>0.5</v>
      </c>
      <c r="G51" s="138">
        <f>(1+E51/100)^(-B51)</f>
        <v>0.81913886067958963</v>
      </c>
      <c r="H51" s="171">
        <f>PRODUCT($D$12:D51)</f>
        <v>0.70597003275095693</v>
      </c>
      <c r="I51" s="115">
        <f t="shared" si="16"/>
        <v>0.57828748830155141</v>
      </c>
      <c r="J51" s="209">
        <f>$C$6*SUM(I50:$I$50)/(G50*H50)</f>
        <v>170.72019405454</v>
      </c>
      <c r="K51" s="140">
        <f t="shared" si="17"/>
        <v>2.2596897657879422E-2</v>
      </c>
      <c r="L51" s="115">
        <f t="shared" ref="L51" si="19">K51*G51</f>
        <v>1.8509997002368637E-2</v>
      </c>
      <c r="M51" s="210">
        <f t="shared" si="10"/>
        <v>9641.636405822288</v>
      </c>
      <c r="N51" s="210">
        <f t="shared" si="18"/>
        <v>9470.9162117677479</v>
      </c>
      <c r="O51" s="144">
        <v>0</v>
      </c>
      <c r="P51" s="154">
        <f>H51*C3</f>
        <v>7059.7003275095694</v>
      </c>
      <c r="Q51" s="144">
        <f t="shared" si="1"/>
        <v>4.3294895364997084</v>
      </c>
      <c r="R51" s="212">
        <f>$C$7*N51</f>
        <v>18.941832423535494</v>
      </c>
      <c r="S51" s="144">
        <f t="shared" si="5"/>
        <v>170.72019405454</v>
      </c>
      <c r="T51" s="144">
        <f>F51/100*(N51+S51-O51-Q51-P51-R51)</f>
        <v>12.793323781763418</v>
      </c>
      <c r="U51" s="178">
        <f>S51+T51-O51-Q51-R51-P51</f>
        <v>-6899.4581316333015</v>
      </c>
      <c r="V51" s="154">
        <f t="shared" si="3"/>
        <v>-4870.8106831530176</v>
      </c>
      <c r="W51" s="154">
        <f t="shared" si="4"/>
        <v>-3989.8703135839364</v>
      </c>
      <c r="X51" s="3">
        <f t="shared" si="7"/>
        <v>-8287.7304414455029</v>
      </c>
      <c r="AB51" s="148"/>
      <c r="AC51" s="148"/>
    </row>
    <row r="52" spans="1:29" x14ac:dyDescent="0.25">
      <c r="B52" s="170"/>
      <c r="E52" s="138"/>
      <c r="F52" s="173"/>
      <c r="G52" s="138"/>
      <c r="H52" s="115"/>
      <c r="I52" s="115"/>
      <c r="J52" s="209">
        <v>0</v>
      </c>
      <c r="K52" s="115"/>
      <c r="L52" s="115"/>
      <c r="M52" s="210">
        <f t="shared" si="10"/>
        <v>10000</v>
      </c>
      <c r="N52" s="210">
        <f t="shared" si="18"/>
        <v>10000</v>
      </c>
      <c r="O52" s="144"/>
      <c r="P52" s="143"/>
      <c r="Q52" s="144"/>
      <c r="R52" s="212"/>
      <c r="S52" s="144"/>
      <c r="T52" s="150"/>
      <c r="U52" s="145"/>
      <c r="V52" s="143"/>
      <c r="W52" s="143"/>
      <c r="X52" s="3">
        <f t="shared" si="7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211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200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200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P12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92</v>
      </c>
      <c r="D1" s="162"/>
    </row>
    <row r="2" spans="1:37" ht="36.75" customHeight="1" thickBot="1" x14ac:dyDescent="0.3">
      <c r="A2" s="163" t="s">
        <v>62</v>
      </c>
      <c r="B2" s="86"/>
      <c r="C2" s="88">
        <f>'AAA rated'!P4</f>
        <v>3461.5348058701584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203" t="s">
        <v>37</v>
      </c>
      <c r="X3" s="204">
        <f>W11/C2</f>
        <v>0.55487561933151874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114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1.6643713305713299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'AAA rated'!Q4</f>
        <v>125.62473502107242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201"/>
      <c r="S6" s="247" t="s">
        <v>41</v>
      </c>
      <c r="T6" s="247"/>
      <c r="U6" s="91"/>
      <c r="V6" s="91"/>
      <c r="W6" s="109" t="s">
        <v>83</v>
      </c>
      <c r="X6" s="98">
        <f>-0.0141</f>
        <v>-1.41E-2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205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206">
        <f>SUM(W12:W51)</f>
        <v>1920.7212692448124</v>
      </c>
      <c r="X11" s="132">
        <f>SUM(X12:X51)</f>
        <v>-2.4119347994746931</v>
      </c>
      <c r="Y11" s="193">
        <f>NPV(X5,V12:V51)</f>
        <v>4.4924767262973623E-17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5">
        <f>'AAA rated'!E5</f>
        <v>0.66117366475260209</v>
      </c>
      <c r="F12" s="195">
        <f>E12</f>
        <v>0.66117366475260209</v>
      </c>
      <c r="G12" s="138">
        <f>EXP(-(E12/100)*B12)</f>
        <v>0.99341007279066318</v>
      </c>
      <c r="H12" s="115">
        <f>PRODUCT($D$12:D12)</f>
        <v>0.99917201979718562</v>
      </c>
      <c r="I12" s="115">
        <f>H12*G12</f>
        <v>0.99258754891711609</v>
      </c>
      <c r="J12" s="139">
        <v>0</v>
      </c>
      <c r="K12" s="115">
        <f>C12</f>
        <v>8.279802028143497E-4</v>
      </c>
      <c r="L12" s="115">
        <f>K12*G12</f>
        <v>8.2252387354703118E-4</v>
      </c>
      <c r="M12" s="141">
        <v>0</v>
      </c>
      <c r="N12" s="141">
        <f>M12-J12</f>
        <v>0</v>
      </c>
      <c r="O12" s="142">
        <f>C4</f>
        <v>200</v>
      </c>
      <c r="P12" s="143">
        <v>0</v>
      </c>
      <c r="Q12" s="144">
        <f t="shared" ref="Q12:Q51" si="1">$C$8*(1+$C$5)^(B12-1)</f>
        <v>2</v>
      </c>
      <c r="R12" s="144">
        <f t="shared" ref="R12:R50" si="2">$C$7*N12</f>
        <v>0</v>
      </c>
      <c r="S12" s="144">
        <f>$C$6</f>
        <v>125.62473502107242</v>
      </c>
      <c r="T12" s="144">
        <f>F12/100*(N12+S12-O12-Q12-P12-R12)</f>
        <v>-0.50497313842568614</v>
      </c>
      <c r="U12" s="145">
        <f>S12+T12-O12-Q12-R12-P12</f>
        <v>-76.880238117353258</v>
      </c>
      <c r="V12" s="143">
        <f>U12*H12</f>
        <v>-76.816582802204437</v>
      </c>
      <c r="W12" s="143">
        <f t="shared" ref="W12:W51" si="3">V12*G12</f>
        <v>-76.310367113067912</v>
      </c>
      <c r="X12" s="146">
        <f>V12*(1+$X$6)^(-B12)</f>
        <v>-77.915186938030672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5">
        <f>'AAA rated'!E6</f>
        <v>1.0755904258034521</v>
      </c>
      <c r="F13" s="195">
        <f>B13*E13-B12*E12</f>
        <v>1.4900071868543021</v>
      </c>
      <c r="G13" s="138">
        <f t="shared" ref="G13:G51" si="4">EXP(-(E13/100)*B13)</f>
        <v>0.97871792019462289</v>
      </c>
      <c r="H13" s="115">
        <f>PRODUCT($D$12:D13)</f>
        <v>0.99823320922948466</v>
      </c>
      <c r="I13" s="115">
        <f>H13*G13</f>
        <v>0.97698873040628509</v>
      </c>
      <c r="J13" s="139">
        <f>$C$6*SUM(I12:$I$50)/(G12*H12)</f>
        <v>3360.8219995187997</v>
      </c>
      <c r="K13" s="140">
        <f>H12-H13</f>
        <v>9.3881056770095395E-4</v>
      </c>
      <c r="L13" s="115">
        <f>K13*G13</f>
        <v>9.188307262770109E-4</v>
      </c>
      <c r="M13" s="141">
        <f>$C$3*$G$51*$H$51/(I12)</f>
        <v>3487.3848756682387</v>
      </c>
      <c r="N13" s="141">
        <f t="shared" ref="N13:N47" si="5">M13-J13</f>
        <v>126.56287614943903</v>
      </c>
      <c r="O13" s="144">
        <v>0</v>
      </c>
      <c r="P13" s="143">
        <v>0</v>
      </c>
      <c r="Q13" s="144">
        <f t="shared" si="1"/>
        <v>2.04</v>
      </c>
      <c r="R13" s="144">
        <f t="shared" si="2"/>
        <v>0.25312575229887807</v>
      </c>
      <c r="S13" s="144">
        <f t="shared" ref="S13:S51" si="6">$C$6</f>
        <v>125.62473502107242</v>
      </c>
      <c r="T13" s="144">
        <f t="shared" ref="T13:T51" si="7">F13/100*(N13+S13-O13-Q13-P13-R13)</f>
        <v>3.7234457922839437</v>
      </c>
      <c r="U13" s="145">
        <f>S13+T13-O13-Q13-R13-P13</f>
        <v>127.0550550610575</v>
      </c>
      <c r="V13" s="143">
        <f t="shared" ref="V13:V51" si="8">U13*H13</f>
        <v>126.83057536242831</v>
      </c>
      <c r="W13" s="143">
        <f t="shared" si="3"/>
        <v>124.13135693580321</v>
      </c>
      <c r="X13" s="146">
        <f>V13*(1+$X$6)^(-B13)</f>
        <v>130.48429078059087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5">
        <f>'AAA rated'!E7</f>
        <v>1.2238097787174036</v>
      </c>
      <c r="F14" s="195">
        <f t="shared" ref="F14:F51" si="9">B14*E14-B13*E13</f>
        <v>1.5202484845453066</v>
      </c>
      <c r="G14" s="138">
        <f t="shared" si="4"/>
        <v>0.96395150335362567</v>
      </c>
      <c r="H14" s="115">
        <f>PRODUCT($D$12:D14)</f>
        <v>0.99720309581120525</v>
      </c>
      <c r="I14" s="115">
        <f>H14*G14</f>
        <v>0.96125542335610092</v>
      </c>
      <c r="J14" s="139">
        <f>$C$6*SUM(I13:$I$50)/(G13*H13)</f>
        <v>3286.8511407452561</v>
      </c>
      <c r="K14" s="140">
        <f>H13-H14</f>
        <v>1.0301134182794103E-3</v>
      </c>
      <c r="L14" s="115">
        <f>K14*G14</f>
        <v>9.9297937817517971E-4</v>
      </c>
      <c r="M14" s="141">
        <f t="shared" ref="M14:M52" si="10">$C$3*$G$51*$H$51/(I13)</f>
        <v>3543.0652351851227</v>
      </c>
      <c r="N14" s="141">
        <f t="shared" si="5"/>
        <v>256.21409443986659</v>
      </c>
      <c r="O14" s="144">
        <v>0</v>
      </c>
      <c r="P14" s="143">
        <v>0</v>
      </c>
      <c r="Q14" s="144">
        <f t="shared" si="1"/>
        <v>2.0808</v>
      </c>
      <c r="R14" s="144">
        <f t="shared" si="2"/>
        <v>0.51242818887973318</v>
      </c>
      <c r="S14" s="144">
        <f t="shared" si="6"/>
        <v>125.62473502107242</v>
      </c>
      <c r="T14" s="144">
        <f t="shared" si="7"/>
        <v>5.7654755060432175</v>
      </c>
      <c r="U14" s="145">
        <f t="shared" ref="U14:U51" si="11">S14+T14-O14-Q14-R14-P14</f>
        <v>128.79698233823589</v>
      </c>
      <c r="V14" s="143">
        <f t="shared" si="8"/>
        <v>128.43674951882997</v>
      </c>
      <c r="W14" s="143">
        <f t="shared" si="3"/>
        <v>123.80679778452921</v>
      </c>
      <c r="X14" s="146">
        <f t="shared" ref="X14:X52" si="12">V14*(1+$X$6)^(-B14)</f>
        <v>134.02650913011846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5">
        <f>'AAA rated'!E8</f>
        <v>1.3032306860947243</v>
      </c>
      <c r="F15" s="195">
        <f t="shared" si="9"/>
        <v>1.5414934082266862</v>
      </c>
      <c r="G15" s="138">
        <f t="shared" si="4"/>
        <v>0.94920619542653994</v>
      </c>
      <c r="H15" s="115">
        <f>PRODUCT($D$12:D15)</f>
        <v>0.99615955299866155</v>
      </c>
      <c r="I15" s="115">
        <f>H15*G15</f>
        <v>0.94556081933966218</v>
      </c>
      <c r="J15" s="139">
        <f>$C$6*SUM(I14:$I$50)/(G14*H14)</f>
        <v>3212.9676437842618</v>
      </c>
      <c r="K15" s="140">
        <f t="shared" ref="K15:K47" si="13">H14-H15</f>
        <v>1.0435428125437074E-3</v>
      </c>
      <c r="L15" s="115">
        <f>K15*G15</f>
        <v>9.9053730285932344E-4</v>
      </c>
      <c r="M15" s="141">
        <f t="shared" si="10"/>
        <v>3601.0562039636152</v>
      </c>
      <c r="N15" s="141">
        <f t="shared" si="5"/>
        <v>388.08856017935341</v>
      </c>
      <c r="O15" s="144">
        <v>0</v>
      </c>
      <c r="P15" s="143">
        <v>0</v>
      </c>
      <c r="Q15" s="144">
        <f t="shared" si="1"/>
        <v>2.1224159999999999</v>
      </c>
      <c r="R15" s="144">
        <f t="shared" si="2"/>
        <v>0.77617712035870678</v>
      </c>
      <c r="S15" s="144">
        <f t="shared" si="6"/>
        <v>125.62473502107242</v>
      </c>
      <c r="T15" s="144">
        <f t="shared" si="7"/>
        <v>7.8741749608170206</v>
      </c>
      <c r="U15" s="145">
        <f t="shared" si="11"/>
        <v>130.60031686153076</v>
      </c>
      <c r="V15" s="143">
        <f t="shared" si="8"/>
        <v>130.09875326626604</v>
      </c>
      <c r="W15" s="143">
        <f t="shared" si="3"/>
        <v>123.49054261760853</v>
      </c>
      <c r="X15" s="146">
        <f t="shared" si="12"/>
        <v>137.70245031818015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5">
        <f>'AAA rated'!E9</f>
        <v>1.3648269565488462</v>
      </c>
      <c r="F16" s="195">
        <f t="shared" si="9"/>
        <v>1.6112120383653341</v>
      </c>
      <c r="G16" s="138">
        <f t="shared" si="4"/>
        <v>0.93403501904922503</v>
      </c>
      <c r="H16" s="115">
        <f>PRODUCT($D$12:D16)</f>
        <v>0.99513503894949118</v>
      </c>
      <c r="I16" s="115">
        <f t="shared" ref="I16:I47" si="14">H16*G16</f>
        <v>0.92949097506173928</v>
      </c>
      <c r="J16" s="139">
        <f>$C$6*SUM(I15:$I$50)/(G15*H15)</f>
        <v>3138.5872321583115</v>
      </c>
      <c r="K16" s="140">
        <f t="shared" si="13"/>
        <v>1.0245140491703664E-3</v>
      </c>
      <c r="L16" s="115">
        <f t="shared" ref="L16:L47" si="15">K16*G16</f>
        <v>9.5693199943304181E-4</v>
      </c>
      <c r="M16" s="141">
        <f t="shared" si="10"/>
        <v>3660.8272414328053</v>
      </c>
      <c r="N16" s="141">
        <f t="shared" si="5"/>
        <v>522.24000927449379</v>
      </c>
      <c r="O16" s="144">
        <v>0</v>
      </c>
      <c r="P16" s="143">
        <v>0</v>
      </c>
      <c r="Q16" s="144">
        <f t="shared" si="1"/>
        <v>2.16486432</v>
      </c>
      <c r="R16" s="144">
        <f t="shared" si="2"/>
        <v>1.0444800185489875</v>
      </c>
      <c r="S16" s="144">
        <f t="shared" si="6"/>
        <v>125.62473502107242</v>
      </c>
      <c r="T16" s="144">
        <f t="shared" si="7"/>
        <v>10.386765410079656</v>
      </c>
      <c r="U16" s="145">
        <f t="shared" si="11"/>
        <v>132.8021560926031</v>
      </c>
      <c r="V16" s="143">
        <f t="shared" si="8"/>
        <v>132.15607877578898</v>
      </c>
      <c r="W16" s="143">
        <f t="shared" si="3"/>
        <v>123.43840555681494</v>
      </c>
      <c r="X16" s="146">
        <f t="shared" si="12"/>
        <v>141.88053292395099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5">
        <f>'AAA rated'!E10</f>
        <v>1.4188689521821152</v>
      </c>
      <c r="F17" s="195">
        <f t="shared" si="9"/>
        <v>1.6890789303484599</v>
      </c>
      <c r="G17" s="138">
        <f t="shared" si="4"/>
        <v>0.91839092284183621</v>
      </c>
      <c r="H17" s="115">
        <f>PRODUCT($D$12:D17)</f>
        <v>0.99406934438051142</v>
      </c>
      <c r="I17" s="115">
        <f>H17*G17</f>
        <v>0.91294426255439698</v>
      </c>
      <c r="J17" s="139">
        <f>$C$6*SUM(I16:$I$50)/(G16*H16)</f>
        <v>3065.0531999447639</v>
      </c>
      <c r="K17" s="140">
        <f t="shared" si="13"/>
        <v>1.0656945689797581E-3</v>
      </c>
      <c r="L17" s="115">
        <f t="shared" si="15"/>
        <v>9.7872421867285287E-4</v>
      </c>
      <c r="M17" s="141">
        <f t="shared" si="10"/>
        <v>3724.1187905457978</v>
      </c>
      <c r="N17" s="141">
        <f t="shared" si="5"/>
        <v>659.06559060103382</v>
      </c>
      <c r="O17" s="144">
        <v>0</v>
      </c>
      <c r="P17" s="143">
        <v>0</v>
      </c>
      <c r="Q17" s="144">
        <f t="shared" si="1"/>
        <v>2.2081616064</v>
      </c>
      <c r="R17" s="144">
        <f t="shared" si="2"/>
        <v>1.3181311812020677</v>
      </c>
      <c r="S17" s="144">
        <f t="shared" si="6"/>
        <v>125.62473502107242</v>
      </c>
      <c r="T17" s="144">
        <f t="shared" si="7"/>
        <v>13.194477090067934</v>
      </c>
      <c r="U17" s="145">
        <f t="shared" si="11"/>
        <v>135.29291932353829</v>
      </c>
      <c r="V17" s="143">
        <f t="shared" si="8"/>
        <v>134.49054361127511</v>
      </c>
      <c r="W17" s="143">
        <f t="shared" si="3"/>
        <v>123.51489446065918</v>
      </c>
      <c r="X17" s="146">
        <f t="shared" si="12"/>
        <v>146.45174451992494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5">
        <f>'AAA rated'!E11</f>
        <v>1.4663850609980162</v>
      </c>
      <c r="F18" s="195">
        <f t="shared" si="9"/>
        <v>1.7514817138934227</v>
      </c>
      <c r="G18" s="138">
        <f t="shared" si="4"/>
        <v>0.9024455217852978</v>
      </c>
      <c r="H18" s="115">
        <f>PRODUCT($D$12:D18)</f>
        <v>0.99284921734070164</v>
      </c>
      <c r="I18" s="115">
        <f t="shared" si="14"/>
        <v>0.89599232999715406</v>
      </c>
      <c r="J18" s="139">
        <f>$C$6*SUM(I17:$I$50)/(G17*H17)</f>
        <v>2992.7043107118043</v>
      </c>
      <c r="K18" s="140">
        <f t="shared" si="13"/>
        <v>1.2201270398097819E-3</v>
      </c>
      <c r="L18" s="115">
        <f t="shared" si="15"/>
        <v>1.1010981830854895E-3</v>
      </c>
      <c r="M18" s="141">
        <f t="shared" si="10"/>
        <v>3791.616802744194</v>
      </c>
      <c r="N18" s="141">
        <f t="shared" si="5"/>
        <v>798.91249203238976</v>
      </c>
      <c r="O18" s="144">
        <v>0</v>
      </c>
      <c r="P18" s="143">
        <v>0</v>
      </c>
      <c r="Q18" s="144">
        <f t="shared" si="1"/>
        <v>2.2523248385280001</v>
      </c>
      <c r="R18" s="144">
        <f t="shared" si="2"/>
        <v>1.5978249840647796</v>
      </c>
      <c r="S18" s="144">
        <f t="shared" si="6"/>
        <v>125.62473502107242</v>
      </c>
      <c r="T18" s="144">
        <f t="shared" si="7"/>
        <v>16.12566579987849</v>
      </c>
      <c r="U18" s="145">
        <f t="shared" si="11"/>
        <v>137.90025099835813</v>
      </c>
      <c r="V18" s="143">
        <f t="shared" si="8"/>
        <v>136.91415627480617</v>
      </c>
      <c r="W18" s="143">
        <f t="shared" si="3"/>
        <v>123.55756719921126</v>
      </c>
      <c r="X18" s="146">
        <f t="shared" si="12"/>
        <v>151.22315275484192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5">
        <f>'AAA rated'!E12</f>
        <v>1.507326045432928</v>
      </c>
      <c r="F19" s="195">
        <f t="shared" si="9"/>
        <v>1.7939129364773105</v>
      </c>
      <c r="G19" s="138">
        <f t="shared" si="4"/>
        <v>0.88640077946015683</v>
      </c>
      <c r="H19" s="115">
        <f>PRODUCT($D$12:D19)</f>
        <v>0.99144316150046929</v>
      </c>
      <c r="I19" s="115">
        <f t="shared" si="14"/>
        <v>0.87881599114445819</v>
      </c>
      <c r="J19" s="139">
        <f>$C$6*SUM(I18:$I$50)/(G18*H18)</f>
        <v>2921.3239458445623</v>
      </c>
      <c r="K19" s="140">
        <f t="shared" si="13"/>
        <v>1.4060558402323453E-3</v>
      </c>
      <c r="L19" s="115">
        <f>K19*G19</f>
        <v>1.2463289927464565E-3</v>
      </c>
      <c r="M19" s="141">
        <f t="shared" si="10"/>
        <v>3863.3531671874398</v>
      </c>
      <c r="N19" s="141">
        <f t="shared" si="5"/>
        <v>942.02922134287746</v>
      </c>
      <c r="O19" s="144">
        <v>0</v>
      </c>
      <c r="P19" s="143">
        <v>0</v>
      </c>
      <c r="Q19" s="144">
        <f t="shared" si="1"/>
        <v>2.2973713352985596</v>
      </c>
      <c r="R19" s="144">
        <f t="shared" si="2"/>
        <v>1.884058442685755</v>
      </c>
      <c r="S19" s="144">
        <f t="shared" si="6"/>
        <v>125.62473502107242</v>
      </c>
      <c r="T19" s="144">
        <f t="shared" si="7"/>
        <v>19.077771230307743</v>
      </c>
      <c r="U19" s="145">
        <f t="shared" si="11"/>
        <v>140.52107647339585</v>
      </c>
      <c r="V19" s="143">
        <f t="shared" si="8"/>
        <v>139.31866031623281</v>
      </c>
      <c r="W19" s="143">
        <f t="shared" si="3"/>
        <v>123.49216909765359</v>
      </c>
      <c r="X19" s="146">
        <f t="shared" si="12"/>
        <v>156.07967667599442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5">
        <f>'AAA rated'!E13</f>
        <v>1.5420743012469824</v>
      </c>
      <c r="F20" s="195">
        <f t="shared" si="9"/>
        <v>1.8200603477594175</v>
      </c>
      <c r="G20" s="138">
        <f t="shared" si="4"/>
        <v>0.87041367911215639</v>
      </c>
      <c r="H20" s="115">
        <f>PRODUCT($D$12:D20)</f>
        <v>0.98989429002974061</v>
      </c>
      <c r="I20" s="115">
        <f t="shared" si="14"/>
        <v>0.86161753091690252</v>
      </c>
      <c r="J20" s="139">
        <f>$C$6*SUM(I19:$I$50)/(G19*H19)</f>
        <v>2850.3407711264422</v>
      </c>
      <c r="K20" s="140">
        <f t="shared" si="13"/>
        <v>1.5488714707286855E-3</v>
      </c>
      <c r="L20" s="115">
        <f>K20*G20</f>
        <v>1.3481589153088117E-3</v>
      </c>
      <c r="M20" s="141">
        <f t="shared" si="10"/>
        <v>3938.8618786536827</v>
      </c>
      <c r="N20" s="141">
        <f t="shared" si="5"/>
        <v>1088.5211075272405</v>
      </c>
      <c r="O20" s="144">
        <v>0</v>
      </c>
      <c r="P20" s="143">
        <v>0</v>
      </c>
      <c r="Q20" s="144">
        <f t="shared" si="1"/>
        <v>2.343318762004531</v>
      </c>
      <c r="R20" s="144">
        <f t="shared" si="2"/>
        <v>2.177042215054481</v>
      </c>
      <c r="S20" s="144">
        <f t="shared" si="6"/>
        <v>125.62473502107242</v>
      </c>
      <c r="T20" s="144">
        <f t="shared" si="7"/>
        <v>22.015913746472293</v>
      </c>
      <c r="U20" s="145">
        <f t="shared" si="11"/>
        <v>143.12028779048569</v>
      </c>
      <c r="V20" s="143">
        <f t="shared" si="8"/>
        <v>141.673955671215</v>
      </c>
      <c r="W20" s="143">
        <f t="shared" si="3"/>
        <v>123.3149489901548</v>
      </c>
      <c r="X20" s="146">
        <f t="shared" si="12"/>
        <v>160.98826519488628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5">
        <f>'AAA rated'!E14</f>
        <v>1.5713819111685488</v>
      </c>
      <c r="F21" s="195">
        <f>B21*E21-B20*E20</f>
        <v>1.8351504004626467</v>
      </c>
      <c r="G21" s="138">
        <f t="shared" si="4"/>
        <v>0.8545859544698905</v>
      </c>
      <c r="H21" s="115">
        <f>PRODUCT($D$12:D21)</f>
        <v>0.98820462254350394</v>
      </c>
      <c r="I21" s="115">
        <f>H21*G21</f>
        <v>0.84450579056789821</v>
      </c>
      <c r="J21" s="139">
        <f>$C$6*SUM(I20:$I$50)/(G20*H20)</f>
        <v>2779.1031843432588</v>
      </c>
      <c r="K21" s="140">
        <f t="shared" si="13"/>
        <v>1.6896674862366678E-3</v>
      </c>
      <c r="L21" s="115">
        <f>K21*G21</f>
        <v>1.4439661014623033E-3</v>
      </c>
      <c r="M21" s="141">
        <f t="shared" si="10"/>
        <v>4017.4841871967456</v>
      </c>
      <c r="N21" s="141">
        <f t="shared" si="5"/>
        <v>1238.3810028534867</v>
      </c>
      <c r="O21" s="144">
        <v>0</v>
      </c>
      <c r="P21" s="143">
        <v>0</v>
      </c>
      <c r="Q21" s="144">
        <f t="shared" si="1"/>
        <v>2.3901851372446217</v>
      </c>
      <c r="R21" s="144">
        <f t="shared" si="2"/>
        <v>2.4767620057069735</v>
      </c>
      <c r="S21" s="144">
        <f t="shared" si="6"/>
        <v>125.62473502107242</v>
      </c>
      <c r="T21" s="144">
        <f t="shared" si="7"/>
        <v>24.942240960954269</v>
      </c>
      <c r="U21" s="145">
        <f>S21+T21-O21-Q21-R21-P21</f>
        <v>145.70002883907509</v>
      </c>
      <c r="V21" s="143">
        <f t="shared" si="8"/>
        <v>143.98144200349583</v>
      </c>
      <c r="W21" s="143">
        <f t="shared" si="3"/>
        <v>123.04451804050866</v>
      </c>
      <c r="X21" s="146">
        <f t="shared" si="12"/>
        <v>165.95022770689121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5">
        <f>'AAA rated'!E15</f>
        <v>1.5961163395225824</v>
      </c>
      <c r="F22" s="195">
        <f t="shared" si="9"/>
        <v>1.8434606230629171</v>
      </c>
      <c r="G22" s="138">
        <f t="shared" si="4"/>
        <v>0.83897631969967568</v>
      </c>
      <c r="H22" s="115">
        <f>PRODUCT($D$12:D22)</f>
        <v>0.98643332382785143</v>
      </c>
      <c r="I22" s="115">
        <f t="shared" si="14"/>
        <v>0.82759419965420922</v>
      </c>
      <c r="J22" s="139">
        <f>$C$6*SUM(I21:$I$50)/(G21*H21)</f>
        <v>2707.2443734326007</v>
      </c>
      <c r="K22" s="140">
        <f t="shared" si="13"/>
        <v>1.771298715652514E-3</v>
      </c>
      <c r="L22" s="115">
        <f t="shared" si="15"/>
        <v>1.4860776775469085E-3</v>
      </c>
      <c r="M22" s="141">
        <f t="shared" si="10"/>
        <v>4098.8881835166667</v>
      </c>
      <c r="N22" s="141">
        <f t="shared" si="5"/>
        <v>1391.643810084066</v>
      </c>
      <c r="O22" s="144">
        <v>0</v>
      </c>
      <c r="P22" s="143">
        <v>0</v>
      </c>
      <c r="Q22" s="144">
        <f t="shared" si="1"/>
        <v>2.4379888399895142</v>
      </c>
      <c r="R22" s="144">
        <f t="shared" si="2"/>
        <v>2.783287620168132</v>
      </c>
      <c r="S22" s="144">
        <f t="shared" si="6"/>
        <v>125.62473502107242</v>
      </c>
      <c r="T22" s="144">
        <f t="shared" si="7"/>
        <v>27.873995999568585</v>
      </c>
      <c r="U22" s="145">
        <f t="shared" si="11"/>
        <v>148.27745456048336</v>
      </c>
      <c r="V22" s="143">
        <f t="shared" si="8"/>
        <v>146.2658223508308</v>
      </c>
      <c r="W22" s="143">
        <f t="shared" si="3"/>
        <v>122.7135613337466</v>
      </c>
      <c r="X22" s="146">
        <f t="shared" si="12"/>
        <v>170.99417826461811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5">
        <f>'AAA rated'!E16</f>
        <v>1.6170965793544503</v>
      </c>
      <c r="F23" s="195">
        <f t="shared" si="9"/>
        <v>1.8478792175049961</v>
      </c>
      <c r="G23" s="138">
        <f t="shared" si="4"/>
        <v>0.82361541324661947</v>
      </c>
      <c r="H23" s="115">
        <f>PRODUCT($D$12:D23)</f>
        <v>0.98449893900552066</v>
      </c>
      <c r="I23" s="115">
        <f t="shared" si="14"/>
        <v>0.81084850048989032</v>
      </c>
      <c r="J23" s="139">
        <f>$C$6*SUM(I22:$I$50)/(G22*H22)</f>
        <v>2634.3741106369303</v>
      </c>
      <c r="K23" s="140">
        <f t="shared" si="13"/>
        <v>1.9343848223307702E-3</v>
      </c>
      <c r="L23" s="115">
        <f t="shared" si="15"/>
        <v>1.5931891548219459E-3</v>
      </c>
      <c r="M23" s="141">
        <f t="shared" si="10"/>
        <v>4182.6474947703591</v>
      </c>
      <c r="N23" s="141">
        <f t="shared" si="5"/>
        <v>1548.2733841334289</v>
      </c>
      <c r="O23" s="144">
        <v>0</v>
      </c>
      <c r="P23" s="143">
        <v>0</v>
      </c>
      <c r="Q23" s="144">
        <f t="shared" si="1"/>
        <v>2.486748616789304</v>
      </c>
      <c r="R23" s="144">
        <f t="shared" si="2"/>
        <v>3.0965467682668577</v>
      </c>
      <c r="S23" s="144">
        <f t="shared" si="6"/>
        <v>125.62473502107242</v>
      </c>
      <c r="T23" s="144">
        <f t="shared" si="7"/>
        <v>30.828442910990677</v>
      </c>
      <c r="U23" s="145">
        <f t="shared" si="11"/>
        <v>150.86988254700697</v>
      </c>
      <c r="V23" s="143">
        <f t="shared" si="8"/>
        <v>148.53123929541587</v>
      </c>
      <c r="W23" s="143">
        <f t="shared" si="3"/>
        <v>122.33261803232647</v>
      </c>
      <c r="X23" s="146">
        <f t="shared" si="12"/>
        <v>176.1259729769921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5">
        <f>'AAA rated'!E17</f>
        <v>1.6350249460437558</v>
      </c>
      <c r="F24" s="195">
        <f t="shared" si="9"/>
        <v>1.8501653463154248</v>
      </c>
      <c r="G24" s="138">
        <f t="shared" si="4"/>
        <v>0.8085172673021418</v>
      </c>
      <c r="H24" s="115">
        <f>PRODUCT($D$12:D24)</f>
        <v>0.98234137479650641</v>
      </c>
      <c r="I24" s="115">
        <f t="shared" si="14"/>
        <v>0.79423996390830043</v>
      </c>
      <c r="J24" s="139">
        <f>$C$6*SUM(I23:$I$50)/(G23*H23)</f>
        <v>2560.5602407742126</v>
      </c>
      <c r="K24" s="140">
        <f t="shared" si="13"/>
        <v>2.1575642090142511E-3</v>
      </c>
      <c r="L24" s="115">
        <f t="shared" si="15"/>
        <v>1.7444279183011094E-3</v>
      </c>
      <c r="M24" s="141">
        <f t="shared" si="10"/>
        <v>4269.0278193507211</v>
      </c>
      <c r="N24" s="141">
        <f t="shared" si="5"/>
        <v>1708.4675785765085</v>
      </c>
      <c r="O24" s="144">
        <v>0</v>
      </c>
      <c r="P24" s="143">
        <v>0</v>
      </c>
      <c r="Q24" s="144">
        <f t="shared" si="1"/>
        <v>2.5364835891250905</v>
      </c>
      <c r="R24" s="144">
        <f t="shared" si="2"/>
        <v>3.4169351571530169</v>
      </c>
      <c r="S24" s="144">
        <f t="shared" si="6"/>
        <v>125.62473502107242</v>
      </c>
      <c r="T24" s="144">
        <f t="shared" si="7"/>
        <v>33.823592315052586</v>
      </c>
      <c r="U24" s="145">
        <f t="shared" si="11"/>
        <v>153.49490858984691</v>
      </c>
      <c r="V24" s="143">
        <f t="shared" si="8"/>
        <v>150.7843995284143</v>
      </c>
      <c r="W24" s="143">
        <f t="shared" si="3"/>
        <v>121.91179065850788</v>
      </c>
      <c r="X24" s="146">
        <f t="shared" si="12"/>
        <v>181.35483763112563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5">
        <f>'AAA rated'!E18</f>
        <v>1.6504747808374685</v>
      </c>
      <c r="F25" s="195">
        <f t="shared" si="9"/>
        <v>1.851322633155732</v>
      </c>
      <c r="G25" s="138">
        <f t="shared" si="4"/>
        <v>0.79368670846826372</v>
      </c>
      <c r="H25" s="115">
        <f>PRODUCT($D$12:D25)</f>
        <v>0.97987941659878797</v>
      </c>
      <c r="I25" s="115">
        <f t="shared" si="14"/>
        <v>0.7777172688560946</v>
      </c>
      <c r="J25" s="139">
        <f>$C$6*SUM(I24:$I$50)/(G24*H24)</f>
        <v>2485.8530083453193</v>
      </c>
      <c r="K25" s="140">
        <f t="shared" si="13"/>
        <v>2.461958197718439E-3</v>
      </c>
      <c r="L25" s="115">
        <f t="shared" si="15"/>
        <v>1.9540234983336066E-3</v>
      </c>
      <c r="M25" s="141">
        <f t="shared" si="10"/>
        <v>4358.2984528210081</v>
      </c>
      <c r="N25" s="141">
        <f t="shared" si="5"/>
        <v>1872.4454444756889</v>
      </c>
      <c r="O25" s="144">
        <v>0</v>
      </c>
      <c r="P25" s="143">
        <v>0</v>
      </c>
      <c r="Q25" s="144">
        <f t="shared" si="1"/>
        <v>2.5872132609075922</v>
      </c>
      <c r="R25" s="144">
        <f t="shared" si="2"/>
        <v>3.7448908889513777</v>
      </c>
      <c r="S25" s="144">
        <f t="shared" si="6"/>
        <v>125.62473502107242</v>
      </c>
      <c r="T25" s="144">
        <f t="shared" si="7"/>
        <v>36.873497782077571</v>
      </c>
      <c r="U25" s="145">
        <f t="shared" si="11"/>
        <v>156.16612865329103</v>
      </c>
      <c r="V25" s="143">
        <f t="shared" si="8"/>
        <v>153.02397503727806</v>
      </c>
      <c r="W25" s="143">
        <f t="shared" si="3"/>
        <v>121.45309506406699</v>
      </c>
      <c r="X25" s="146">
        <f t="shared" si="12"/>
        <v>186.68066817385989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5">
        <f>'AAA rated'!E19</f>
        <v>1.6639030035353659</v>
      </c>
      <c r="F26" s="195">
        <f t="shared" si="9"/>
        <v>1.8518981213059291</v>
      </c>
      <c r="G26" s="138">
        <f t="shared" si="4"/>
        <v>0.77912370145122234</v>
      </c>
      <c r="H26" s="115">
        <f>PRODUCT($D$12:D26)</f>
        <v>0.97718549882519523</v>
      </c>
      <c r="I26" s="115">
        <f t="shared" si="14"/>
        <v>0.76134838284914519</v>
      </c>
      <c r="J26" s="139">
        <f>$C$6*SUM(I25:$I$50)/(G25*H25)</f>
        <v>2410.3716012088007</v>
      </c>
      <c r="K26" s="140">
        <f t="shared" si="13"/>
        <v>2.6939177735927355E-3</v>
      </c>
      <c r="L26" s="115">
        <f t="shared" si="15"/>
        <v>2.098895187166808E-3</v>
      </c>
      <c r="M26" s="141">
        <f t="shared" si="10"/>
        <v>4450.8910171964644</v>
      </c>
      <c r="N26" s="141">
        <f t="shared" si="5"/>
        <v>2040.5194159876637</v>
      </c>
      <c r="O26" s="144">
        <v>0</v>
      </c>
      <c r="P26" s="143">
        <v>0</v>
      </c>
      <c r="Q26" s="144">
        <f t="shared" si="1"/>
        <v>2.6389575261257443</v>
      </c>
      <c r="R26" s="144">
        <f t="shared" si="2"/>
        <v>4.0810388319753272</v>
      </c>
      <c r="S26" s="144">
        <f t="shared" si="6"/>
        <v>125.62473502107242</v>
      </c>
      <c r="T26" s="144">
        <f t="shared" si="7"/>
        <v>39.990335351001555</v>
      </c>
      <c r="U26" s="145">
        <f t="shared" si="11"/>
        <v>158.8950740139729</v>
      </c>
      <c r="V26" s="143">
        <f t="shared" si="8"/>
        <v>155.26996216121043</v>
      </c>
      <c r="W26" s="143">
        <f t="shared" si="3"/>
        <v>120.97450764323351</v>
      </c>
      <c r="X26" s="146">
        <f t="shared" si="12"/>
        <v>192.12967492973351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5">
        <f>'AAA rated'!E20</f>
        <v>1.6756703208435078</v>
      </c>
      <c r="F27" s="195">
        <f t="shared" si="9"/>
        <v>1.8521800804656365</v>
      </c>
      <c r="G27" s="138">
        <f t="shared" si="4"/>
        <v>0.7648257481213705</v>
      </c>
      <c r="H27" s="115">
        <f>PRODUCT($D$12:D27)</f>
        <v>0.97429439263230044</v>
      </c>
      <c r="I27" s="115">
        <f t="shared" si="14"/>
        <v>0.74516543773545552</v>
      </c>
      <c r="J27" s="139">
        <f>$C$6*SUM(I26:$I$50)/(G26*H26)</f>
        <v>2333.8686110417821</v>
      </c>
      <c r="K27" s="140">
        <f t="shared" si="13"/>
        <v>2.8911061928947879E-3</v>
      </c>
      <c r="L27" s="115">
        <f t="shared" si="15"/>
        <v>2.2111924568790835E-3</v>
      </c>
      <c r="M27" s="141">
        <f t="shared" si="10"/>
        <v>4546.5845647642664</v>
      </c>
      <c r="N27" s="141">
        <f t="shared" si="5"/>
        <v>2212.7159537224843</v>
      </c>
      <c r="O27" s="144">
        <v>0</v>
      </c>
      <c r="P27" s="143">
        <v>0</v>
      </c>
      <c r="Q27" s="144">
        <f t="shared" si="1"/>
        <v>2.6917366766482584</v>
      </c>
      <c r="R27" s="144">
        <f t="shared" si="2"/>
        <v>4.4254319074449686</v>
      </c>
      <c r="S27" s="144">
        <f t="shared" si="6"/>
        <v>125.62473502107242</v>
      </c>
      <c r="T27" s="144">
        <f t="shared" si="7"/>
        <v>43.17845767152339</v>
      </c>
      <c r="U27" s="145">
        <f t="shared" si="11"/>
        <v>161.68602410850261</v>
      </c>
      <c r="V27" s="143">
        <f t="shared" si="8"/>
        <v>157.52978665592502</v>
      </c>
      <c r="W27" s="143">
        <f t="shared" si="3"/>
        <v>120.48283693051775</v>
      </c>
      <c r="X27" s="146">
        <f t="shared" si="12"/>
        <v>197.71372525544808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5">
        <f>'AAA rated'!E21</f>
        <v>1.6860612728192013</v>
      </c>
      <c r="F28" s="195">
        <f t="shared" si="9"/>
        <v>1.8523165044302985</v>
      </c>
      <c r="G28" s="138">
        <f t="shared" si="4"/>
        <v>0.75078915694250026</v>
      </c>
      <c r="H28" s="115">
        <f>PRODUCT($D$12:D28)</f>
        <v>0.97101924835240661</v>
      </c>
      <c r="I28" s="115">
        <f t="shared" si="14"/>
        <v>0.72903072284544368</v>
      </c>
      <c r="J28" s="139">
        <f>$C$6*SUM(I27:$I$50)/(G27*H27)</f>
        <v>2256.2008633333326</v>
      </c>
      <c r="K28" s="140">
        <f t="shared" si="13"/>
        <v>3.2751442798938379E-3</v>
      </c>
      <c r="L28" s="115">
        <f t="shared" si="15"/>
        <v>2.4589428127665468E-3</v>
      </c>
      <c r="M28" s="141">
        <f t="shared" si="10"/>
        <v>4645.3238845721316</v>
      </c>
      <c r="N28" s="141">
        <f t="shared" si="5"/>
        <v>2389.1230212387991</v>
      </c>
      <c r="O28" s="144">
        <v>0</v>
      </c>
      <c r="P28" s="143">
        <v>0</v>
      </c>
      <c r="Q28" s="144">
        <f t="shared" si="1"/>
        <v>2.7455714101812241</v>
      </c>
      <c r="R28" s="144">
        <f t="shared" si="2"/>
        <v>4.7782460424775985</v>
      </c>
      <c r="S28" s="144">
        <f t="shared" si="6"/>
        <v>125.62473502107242</v>
      </c>
      <c r="T28" s="144">
        <f t="shared" si="7"/>
        <v>46.441722821553405</v>
      </c>
      <c r="U28" s="145">
        <f t="shared" si="11"/>
        <v>164.542640389967</v>
      </c>
      <c r="V28" s="143">
        <f t="shared" si="8"/>
        <v>159.77407099338609</v>
      </c>
      <c r="W28" s="143">
        <f t="shared" si="3"/>
        <v>119.95664006239552</v>
      </c>
      <c r="X28" s="146">
        <f t="shared" si="12"/>
        <v>203.39841699612271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5">
        <f>'AAA rated'!E22</f>
        <v>1.6953013025443886</v>
      </c>
      <c r="F29" s="195">
        <f t="shared" si="9"/>
        <v>1.8523818078725718</v>
      </c>
      <c r="G29" s="138">
        <f t="shared" si="4"/>
        <v>0.73700969333450017</v>
      </c>
      <c r="H29" s="115">
        <f>PRODUCT($D$12:D29)</f>
        <v>0.96730639780222649</v>
      </c>
      <c r="I29" s="115">
        <f t="shared" si="14"/>
        <v>0.71291419160471903</v>
      </c>
      <c r="J29" s="139">
        <f>$C$6*SUM(I28:$I$50)/(G28*H28)</f>
        <v>2177.7294749471062</v>
      </c>
      <c r="K29" s="140">
        <f t="shared" si="13"/>
        <v>3.7128505501801135E-3</v>
      </c>
      <c r="L29" s="115">
        <f t="shared" si="15"/>
        <v>2.7364068453850756E-3</v>
      </c>
      <c r="M29" s="141">
        <f t="shared" si="10"/>
        <v>4748.1329625720218</v>
      </c>
      <c r="N29" s="141">
        <f t="shared" si="5"/>
        <v>2570.4034876249157</v>
      </c>
      <c r="O29" s="144">
        <v>0</v>
      </c>
      <c r="P29" s="143">
        <v>0</v>
      </c>
      <c r="Q29" s="144">
        <f t="shared" si="1"/>
        <v>2.8004828383848488</v>
      </c>
      <c r="R29" s="144">
        <f t="shared" si="2"/>
        <v>5.1408069752498315</v>
      </c>
      <c r="S29" s="144">
        <f t="shared" si="6"/>
        <v>125.62473502107242</v>
      </c>
      <c r="T29" s="144">
        <f t="shared" si="7"/>
        <v>49.793633323586313</v>
      </c>
      <c r="U29" s="145">
        <f t="shared" si="11"/>
        <v>167.47707853102406</v>
      </c>
      <c r="V29" s="143">
        <f t="shared" si="8"/>
        <v>162.00164954828549</v>
      </c>
      <c r="W29" s="143">
        <f t="shared" si="3"/>
        <v>119.39678605326506</v>
      </c>
      <c r="X29" s="146">
        <f t="shared" si="12"/>
        <v>209.1836986429679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5">
        <f>'AAA rated'!E23</f>
        <v>1.7035703276014111</v>
      </c>
      <c r="F30" s="195">
        <f t="shared" si="9"/>
        <v>1.8524127786278157</v>
      </c>
      <c r="G30" s="138">
        <f t="shared" si="4"/>
        <v>0.72348290437906992</v>
      </c>
      <c r="H30" s="115">
        <f>PRODUCT($D$12:D30)</f>
        <v>0.96309783319744502</v>
      </c>
      <c r="I30" s="115">
        <f t="shared" si="14"/>
        <v>0.69678481756287658</v>
      </c>
      <c r="J30" s="139">
        <f>$C$6*SUM(I29:$I$50)/(G29*H29)</f>
        <v>2098.495750989809</v>
      </c>
      <c r="K30" s="140">
        <f t="shared" si="13"/>
        <v>4.2085646047814729E-3</v>
      </c>
      <c r="L30" s="115">
        <f t="shared" si="15"/>
        <v>3.0448245435342526E-3</v>
      </c>
      <c r="M30" s="141">
        <f t="shared" si="10"/>
        <v>4855.4718739410846</v>
      </c>
      <c r="N30" s="141">
        <f t="shared" si="5"/>
        <v>2756.9761229512756</v>
      </c>
      <c r="O30" s="144">
        <v>0</v>
      </c>
      <c r="P30" s="143">
        <v>0</v>
      </c>
      <c r="Q30" s="144">
        <f t="shared" si="1"/>
        <v>2.8564924951525454</v>
      </c>
      <c r="R30" s="144">
        <f t="shared" si="2"/>
        <v>5.5139522459025514</v>
      </c>
      <c r="S30" s="144">
        <f t="shared" si="6"/>
        <v>125.62473502107242</v>
      </c>
      <c r="T30" s="144">
        <f t="shared" si="7"/>
        <v>53.24261146190355</v>
      </c>
      <c r="U30" s="145">
        <f t="shared" si="11"/>
        <v>170.49690174192088</v>
      </c>
      <c r="V30" s="143">
        <f t="shared" si="8"/>
        <v>164.20519663452168</v>
      </c>
      <c r="W30" s="143">
        <f t="shared" si="3"/>
        <v>118.79965257528002</v>
      </c>
      <c r="X30" s="146">
        <f t="shared" si="12"/>
        <v>215.06138163102841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5">
        <f>'AAA rated'!E24</f>
        <v>1.7110131786357228</v>
      </c>
      <c r="F31" s="195">
        <f t="shared" si="9"/>
        <v>1.8524273482876481</v>
      </c>
      <c r="G31" s="138">
        <f t="shared" si="4"/>
        <v>0.71020427736709346</v>
      </c>
      <c r="H31" s="115">
        <f>PRODUCT($D$12:D31)</f>
        <v>0.9584939744600528</v>
      </c>
      <c r="I31" s="115">
        <f t="shared" si="14"/>
        <v>0.68072652049211513</v>
      </c>
      <c r="J31" s="139">
        <f>$C$6*SUM(I30:$I$50)/(G30*H30)</f>
        <v>2018.5395979337818</v>
      </c>
      <c r="K31" s="140">
        <f t="shared" si="13"/>
        <v>4.6038587373922191E-3</v>
      </c>
      <c r="L31" s="115">
        <f t="shared" si="15"/>
        <v>3.2696801676898204E-3</v>
      </c>
      <c r="M31" s="141">
        <f t="shared" si="10"/>
        <v>4967.8677241812838</v>
      </c>
      <c r="N31" s="141">
        <f t="shared" si="5"/>
        <v>2949.328126247502</v>
      </c>
      <c r="O31" s="144">
        <v>0</v>
      </c>
      <c r="P31" s="143">
        <v>0</v>
      </c>
      <c r="Q31" s="144">
        <f t="shared" si="1"/>
        <v>2.9136223450555963</v>
      </c>
      <c r="R31" s="144">
        <f t="shared" si="2"/>
        <v>5.8986562524950044</v>
      </c>
      <c r="S31" s="144">
        <f t="shared" si="6"/>
        <v>125.62473502107242</v>
      </c>
      <c r="T31" s="144">
        <f t="shared" si="7"/>
        <v>56.798026690344294</v>
      </c>
      <c r="U31" s="145">
        <f t="shared" si="11"/>
        <v>173.61048311386611</v>
      </c>
      <c r="V31" s="143">
        <f t="shared" si="8"/>
        <v>166.40460196773941</v>
      </c>
      <c r="W31" s="143">
        <f t="shared" si="3"/>
        <v>118.18126009105718</v>
      </c>
      <c r="X31" s="146">
        <f t="shared" si="12"/>
        <v>221.05889784198345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5">
        <f>'AAA rated'!E25</f>
        <v>1.7177475107786024</v>
      </c>
      <c r="F32" s="195">
        <f t="shared" si="9"/>
        <v>1.8524341536361959</v>
      </c>
      <c r="G32" s="138">
        <f t="shared" si="4"/>
        <v>0.69716931555957717</v>
      </c>
      <c r="H32" s="115">
        <f>PRODUCT($D$12:D32)</f>
        <v>0.95334846950538654</v>
      </c>
      <c r="I32" s="115">
        <f t="shared" si="14"/>
        <v>0.66464529997484079</v>
      </c>
      <c r="J32" s="139">
        <f>$C$6*SUM(I31:$I$50)/(G31*H31)</f>
        <v>1937.56860899614</v>
      </c>
      <c r="K32" s="140">
        <f t="shared" si="13"/>
        <v>5.1455049546662579E-3</v>
      </c>
      <c r="L32" s="115">
        <f t="shared" si="15"/>
        <v>3.5872881674530884E-3</v>
      </c>
      <c r="M32" s="141">
        <f t="shared" si="10"/>
        <v>5085.0594205845309</v>
      </c>
      <c r="N32" s="141">
        <f t="shared" si="5"/>
        <v>3147.4908115883909</v>
      </c>
      <c r="O32" s="144">
        <v>0</v>
      </c>
      <c r="P32" s="143">
        <v>0</v>
      </c>
      <c r="Q32" s="144">
        <f t="shared" si="1"/>
        <v>2.9718947919567085</v>
      </c>
      <c r="R32" s="144">
        <f t="shared" si="2"/>
        <v>6.2949816231767821</v>
      </c>
      <c r="S32" s="144">
        <f t="shared" si="6"/>
        <v>125.62473502107242</v>
      </c>
      <c r="T32" s="144">
        <f t="shared" si="7"/>
        <v>60.460647489680568</v>
      </c>
      <c r="U32" s="145">
        <f t="shared" si="11"/>
        <v>176.81850609561948</v>
      </c>
      <c r="V32" s="143">
        <f t="shared" si="8"/>
        <v>168.56965216648769</v>
      </c>
      <c r="W32" s="143">
        <f t="shared" si="3"/>
        <v>117.52158902502622</v>
      </c>
      <c r="X32" s="146">
        <f t="shared" si="12"/>
        <v>227.137683255121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5">
        <f>'AAA rated'!E26</f>
        <v>1.7238697744849769</v>
      </c>
      <c r="F33" s="195">
        <f t="shared" si="9"/>
        <v>1.8524373123188411</v>
      </c>
      <c r="G33" s="138">
        <f t="shared" si="4"/>
        <v>0.68437357348378747</v>
      </c>
      <c r="H33" s="115">
        <f>PRODUCT($D$12:D33)</f>
        <v>0.94778226433062707</v>
      </c>
      <c r="I33" s="115">
        <f t="shared" si="14"/>
        <v>0.64863713512450683</v>
      </c>
      <c r="J33" s="139">
        <f>$C$6*SUM(I32:$I$50)/(G32*H32)</f>
        <v>1855.7842035514902</v>
      </c>
      <c r="K33" s="140">
        <f t="shared" si="13"/>
        <v>5.5662051747594754E-3</v>
      </c>
      <c r="L33" s="115">
        <f t="shared" si="15"/>
        <v>3.8093637261940919E-3</v>
      </c>
      <c r="M33" s="141">
        <f t="shared" si="10"/>
        <v>5208.0934086213956</v>
      </c>
      <c r="N33" s="141">
        <f t="shared" si="5"/>
        <v>3352.3092050699051</v>
      </c>
      <c r="O33" s="144">
        <v>0</v>
      </c>
      <c r="P33" s="143">
        <v>0</v>
      </c>
      <c r="Q33" s="144">
        <f t="shared" si="1"/>
        <v>3.0313326877958424</v>
      </c>
      <c r="R33" s="144">
        <f t="shared" si="2"/>
        <v>6.7046184101398101</v>
      </c>
      <c r="S33" s="144">
        <f t="shared" si="6"/>
        <v>125.62473502107242</v>
      </c>
      <c r="T33" s="144">
        <f t="shared" si="7"/>
        <v>64.246193613198798</v>
      </c>
      <c r="U33" s="145">
        <f t="shared" si="11"/>
        <v>180.13497753633558</v>
      </c>
      <c r="V33" s="143">
        <f t="shared" si="8"/>
        <v>170.72873689453479</v>
      </c>
      <c r="W33" s="143">
        <f t="shared" si="3"/>
        <v>116.84223576488613</v>
      </c>
      <c r="X33" s="146">
        <f t="shared" si="12"/>
        <v>233.33697416497753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5">
        <f>'AAA rated'!E27</f>
        <v>1.729459730818963</v>
      </c>
      <c r="F34" s="195">
        <f t="shared" si="9"/>
        <v>1.8524387701666569</v>
      </c>
      <c r="G34" s="138">
        <f t="shared" si="4"/>
        <v>0.67181267276365608</v>
      </c>
      <c r="H34" s="115">
        <f>PRODUCT($D$12:D34)</f>
        <v>0.94172175522327528</v>
      </c>
      <c r="I34" s="115">
        <f t="shared" si="14"/>
        <v>0.63266060937623003</v>
      </c>
      <c r="J34" s="139">
        <f>$C$6*SUM(I33:$I$50)/(G33*H33)</f>
        <v>1772.8592716865917</v>
      </c>
      <c r="K34" s="140">
        <f t="shared" si="13"/>
        <v>6.0605091073517858E-3</v>
      </c>
      <c r="L34" s="115">
        <f t="shared" si="15"/>
        <v>4.071526821718483E-3</v>
      </c>
      <c r="M34" s="141">
        <f t="shared" si="10"/>
        <v>5336.6275509429661</v>
      </c>
      <c r="N34" s="141">
        <f t="shared" si="5"/>
        <v>3563.7682792563746</v>
      </c>
      <c r="O34" s="144">
        <v>0</v>
      </c>
      <c r="P34" s="143">
        <v>0</v>
      </c>
      <c r="Q34" s="144">
        <f t="shared" si="1"/>
        <v>3.0919593415517594</v>
      </c>
      <c r="R34" s="144">
        <f t="shared" si="2"/>
        <v>7.127536558512749</v>
      </c>
      <c r="S34" s="144">
        <f t="shared" si="6"/>
        <v>125.62473502107242</v>
      </c>
      <c r="T34" s="144">
        <f t="shared" si="7"/>
        <v>68.15443667612729</v>
      </c>
      <c r="U34" s="145">
        <f t="shared" si="11"/>
        <v>183.55967579713521</v>
      </c>
      <c r="V34" s="143">
        <f t="shared" si="8"/>
        <v>172.86214007989352</v>
      </c>
      <c r="W34" s="143">
        <f t="shared" si="3"/>
        <v>116.13097634671878</v>
      </c>
      <c r="X34" s="146">
        <f t="shared" si="12"/>
        <v>239.63152592376275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5">
        <f>'AAA rated'!E28</f>
        <v>1.7345838853523512</v>
      </c>
      <c r="F35" s="195">
        <f t="shared" si="9"/>
        <v>1.8524394396202766</v>
      </c>
      <c r="G35" s="138">
        <f t="shared" si="4"/>
        <v>0.65948230871465552</v>
      </c>
      <c r="H35" s="115">
        <f>PRODUCT($D$12:D35)</f>
        <v>0.93514321995631577</v>
      </c>
      <c r="I35" s="115">
        <f t="shared" si="14"/>
        <v>0.61671040967564805</v>
      </c>
      <c r="J35" s="139">
        <f>$C$6*SUM(I34:$I$50)/(G34*H34)</f>
        <v>1688.8320134144428</v>
      </c>
      <c r="K35" s="140">
        <f t="shared" si="13"/>
        <v>6.5785352669595065E-3</v>
      </c>
      <c r="L35" s="115">
        <f t="shared" si="15"/>
        <v>4.3384276258152379E-3</v>
      </c>
      <c r="M35" s="141">
        <f t="shared" si="10"/>
        <v>5471.3929626234349</v>
      </c>
      <c r="N35" s="141">
        <f t="shared" si="5"/>
        <v>3782.560949208992</v>
      </c>
      <c r="O35" s="144">
        <v>0</v>
      </c>
      <c r="P35" s="143">
        <v>0</v>
      </c>
      <c r="Q35" s="144">
        <f t="shared" si="1"/>
        <v>3.1537985283827941</v>
      </c>
      <c r="R35" s="144">
        <f t="shared" si="2"/>
        <v>7.565121898417984</v>
      </c>
      <c r="S35" s="144">
        <f t="shared" si="6"/>
        <v>125.62473502107242</v>
      </c>
      <c r="T35" s="144">
        <f t="shared" si="7"/>
        <v>72.198211478783705</v>
      </c>
      <c r="U35" s="145">
        <f t="shared" si="11"/>
        <v>187.10402607305537</v>
      </c>
      <c r="V35" s="143">
        <f t="shared" si="8"/>
        <v>174.96906140874745</v>
      </c>
      <c r="W35" s="143">
        <f t="shared" si="3"/>
        <v>115.38900057147711</v>
      </c>
      <c r="X35" s="146">
        <f t="shared" si="12"/>
        <v>246.02116085566544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5">
        <f>'AAA rated'!E29</f>
        <v>1.739298119763778</v>
      </c>
      <c r="F36" s="195">
        <f t="shared" si="9"/>
        <v>1.8524397456380228</v>
      </c>
      <c r="G36" s="138">
        <f t="shared" si="4"/>
        <v>0.64737825261253013</v>
      </c>
      <c r="H36" s="115">
        <f>PRODUCT($D$12:D36)</f>
        <v>0.92768528834132047</v>
      </c>
      <c r="I36" s="115">
        <f t="shared" si="14"/>
        <v>0.60056328094075517</v>
      </c>
      <c r="J36" s="139">
        <f>$C$6*SUM(I35:$I$50)/(G35*H35)</f>
        <v>1603.6370617610469</v>
      </c>
      <c r="K36" s="140">
        <f t="shared" si="13"/>
        <v>7.4579316149953057E-3</v>
      </c>
      <c r="L36" s="115">
        <f t="shared" si="15"/>
        <v>4.8281027370194055E-3</v>
      </c>
      <c r="M36" s="141">
        <f t="shared" si="10"/>
        <v>5612.9015362181326</v>
      </c>
      <c r="N36" s="141">
        <f t="shared" si="5"/>
        <v>4009.2644744570857</v>
      </c>
      <c r="O36" s="144">
        <v>0</v>
      </c>
      <c r="P36" s="143">
        <v>0</v>
      </c>
      <c r="Q36" s="144">
        <f t="shared" si="1"/>
        <v>3.2168744989504501</v>
      </c>
      <c r="R36" s="144">
        <f t="shared" si="2"/>
        <v>8.018528948914172</v>
      </c>
      <c r="S36" s="144">
        <f t="shared" si="6"/>
        <v>125.62473502107242</v>
      </c>
      <c r="T36" s="144">
        <f t="shared" si="7"/>
        <v>76.38820207542021</v>
      </c>
      <c r="U36" s="145">
        <f t="shared" si="11"/>
        <v>190.77753364862801</v>
      </c>
      <c r="V36" s="143">
        <f t="shared" si="8"/>
        <v>176.98151131187345</v>
      </c>
      <c r="W36" s="143">
        <f t="shared" si="3"/>
        <v>114.57398153780537</v>
      </c>
      <c r="X36" s="146">
        <f t="shared" si="12"/>
        <v>252.40981239577724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5">
        <f>'AAA rated'!E30</f>
        <v>1.7436497261169506</v>
      </c>
      <c r="F37" s="195">
        <f t="shared" si="9"/>
        <v>1.8524398849462642</v>
      </c>
      <c r="G37" s="138">
        <f t="shared" si="4"/>
        <v>0.63549635196226228</v>
      </c>
      <c r="H37" s="115">
        <f>PRODUCT($D$12:D37)</f>
        <v>0.91935247309226886</v>
      </c>
      <c r="I37" s="115">
        <f t="shared" si="14"/>
        <v>0.58424514281762074</v>
      </c>
      <c r="J37" s="139">
        <f>$C$6*SUM(I36:$I$50)/(G36*H36)</f>
        <v>1517.7511120920269</v>
      </c>
      <c r="K37" s="140">
        <f t="shared" si="13"/>
        <v>8.3328152490516061E-3</v>
      </c>
      <c r="L37" s="115">
        <f t="shared" si="15"/>
        <v>5.295473692347806E-3</v>
      </c>
      <c r="M37" s="141">
        <f t="shared" si="10"/>
        <v>5763.8135992061007</v>
      </c>
      <c r="N37" s="141">
        <f t="shared" si="5"/>
        <v>4246.0624871140735</v>
      </c>
      <c r="O37" s="144">
        <v>0</v>
      </c>
      <c r="P37" s="143">
        <v>0</v>
      </c>
      <c r="Q37" s="144">
        <f t="shared" si="1"/>
        <v>3.2812119889294591</v>
      </c>
      <c r="R37" s="144">
        <f t="shared" si="2"/>
        <v>8.4921249742281475</v>
      </c>
      <c r="S37" s="144">
        <f t="shared" si="6"/>
        <v>125.62473502107242</v>
      </c>
      <c r="T37" s="144">
        <f t="shared" si="7"/>
        <v>80.764783758236177</v>
      </c>
      <c r="U37" s="145">
        <f t="shared" si="11"/>
        <v>194.616181816151</v>
      </c>
      <c r="V37" s="143">
        <f t="shared" si="8"/>
        <v>178.92086805645306</v>
      </c>
      <c r="W37" s="143">
        <f t="shared" si="3"/>
        <v>113.70355893979719</v>
      </c>
      <c r="X37" s="146">
        <f t="shared" si="12"/>
        <v>258.82514415937993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5">
        <f>'AAA rated'!E31</f>
        <v>1.7476789935987398</v>
      </c>
      <c r="F38" s="195">
        <f t="shared" si="9"/>
        <v>1.8524399481252587</v>
      </c>
      <c r="G38" s="138">
        <f t="shared" si="4"/>
        <v>0.62383252985779225</v>
      </c>
      <c r="H38" s="115">
        <f>PRODUCT($D$12:D38)</f>
        <v>0.9102993702325356</v>
      </c>
      <c r="I38" s="115">
        <f t="shared" si="14"/>
        <v>0.56787435906011774</v>
      </c>
      <c r="J38" s="139">
        <f>$C$6*SUM(I37:$I$50)/(G37*H37)</f>
        <v>1431.0088749148326</v>
      </c>
      <c r="K38" s="140">
        <f t="shared" si="13"/>
        <v>9.0531028597332641E-3</v>
      </c>
      <c r="L38" s="115">
        <f t="shared" si="15"/>
        <v>5.6476200600502156E-3</v>
      </c>
      <c r="M38" s="141">
        <f t="shared" si="10"/>
        <v>5924.7986028199111</v>
      </c>
      <c r="N38" s="141">
        <f t="shared" si="5"/>
        <v>4493.7897279050785</v>
      </c>
      <c r="O38" s="144">
        <v>0</v>
      </c>
      <c r="P38" s="143">
        <v>0</v>
      </c>
      <c r="Q38" s="144">
        <f t="shared" si="1"/>
        <v>3.3468362287080486</v>
      </c>
      <c r="R38" s="144">
        <f t="shared" si="2"/>
        <v>8.9875794558101578</v>
      </c>
      <c r="S38" s="144">
        <f t="shared" si="6"/>
        <v>125.62473502107242</v>
      </c>
      <c r="T38" s="144">
        <f t="shared" si="7"/>
        <v>85.343391237212046</v>
      </c>
      <c r="U38" s="145">
        <f t="shared" si="11"/>
        <v>198.63371057376628</v>
      </c>
      <c r="V38" s="143">
        <f t="shared" si="8"/>
        <v>180.81614164225118</v>
      </c>
      <c r="W38" s="143">
        <f t="shared" si="3"/>
        <v>112.79899107981045</v>
      </c>
      <c r="X38" s="146">
        <f t="shared" si="12"/>
        <v>265.30766612798215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5">
        <f>'AAA rated'!E32</f>
        <v>1.7514204572802101</v>
      </c>
      <c r="F39" s="195">
        <f t="shared" si="9"/>
        <v>1.8524399766799107</v>
      </c>
      <c r="G39" s="138">
        <f t="shared" si="4"/>
        <v>0.61238278393887291</v>
      </c>
      <c r="H39" s="115">
        <f>PRODUCT($D$12:D39)</f>
        <v>0.90062735185070897</v>
      </c>
      <c r="I39" s="115">
        <f t="shared" si="14"/>
        <v>0.55152868501783203</v>
      </c>
      <c r="J39" s="139">
        <f>$C$6*SUM(I38:$I$50)/(G38*H38)</f>
        <v>1343.0159877377876</v>
      </c>
      <c r="K39" s="140">
        <f t="shared" si="13"/>
        <v>9.6720183818266303E-3</v>
      </c>
      <c r="L39" s="115">
        <f t="shared" si="15"/>
        <v>5.9229775429709445E-3</v>
      </c>
      <c r="M39" s="141">
        <f t="shared" si="10"/>
        <v>6095.5997583678627</v>
      </c>
      <c r="N39" s="141">
        <f t="shared" si="5"/>
        <v>4752.5837706300754</v>
      </c>
      <c r="O39" s="144">
        <v>0</v>
      </c>
      <c r="P39" s="143">
        <v>0</v>
      </c>
      <c r="Q39" s="144">
        <f t="shared" si="1"/>
        <v>3.413772953282209</v>
      </c>
      <c r="R39" s="144">
        <f t="shared" si="2"/>
        <v>9.5051675412601515</v>
      </c>
      <c r="S39" s="144">
        <f t="shared" si="6"/>
        <v>125.62473502107242</v>
      </c>
      <c r="T39" s="144">
        <f t="shared" si="7"/>
        <v>90.126568886197148</v>
      </c>
      <c r="U39" s="145">
        <f t="shared" si="11"/>
        <v>202.8323634127272</v>
      </c>
      <c r="V39" s="143">
        <f t="shared" si="8"/>
        <v>182.67637433002514</v>
      </c>
      <c r="W39" s="143">
        <f t="shared" si="3"/>
        <v>111.86786667208045</v>
      </c>
      <c r="X39" s="146">
        <f t="shared" si="12"/>
        <v>271.87052018921543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5">
        <f>'AAA rated'!E33</f>
        <v>1.7549038894272715</v>
      </c>
      <c r="F40" s="195">
        <f t="shared" si="9"/>
        <v>1.8524399895449903</v>
      </c>
      <c r="G40" s="138">
        <f t="shared" si="4"/>
        <v>0.60114318517818532</v>
      </c>
      <c r="H40" s="115">
        <f>PRODUCT($D$12:D40)</f>
        <v>0.8902412966293034</v>
      </c>
      <c r="I40" s="115">
        <f t="shared" si="14"/>
        <v>0.53516248863289717</v>
      </c>
      <c r="J40" s="139">
        <f>$C$6*SUM(I39:$I$50)/(G39*H39)</f>
        <v>1253.4711178976058</v>
      </c>
      <c r="K40" s="140">
        <f t="shared" si="13"/>
        <v>1.0386055221405566E-2</v>
      </c>
      <c r="L40" s="115">
        <f t="shared" si="15"/>
        <v>6.2435063172322641E-3</v>
      </c>
      <c r="M40" s="141">
        <f t="shared" si="10"/>
        <v>6276.2552518156699</v>
      </c>
      <c r="N40" s="141">
        <f t="shared" si="5"/>
        <v>5022.7841339180641</v>
      </c>
      <c r="O40" s="144">
        <v>0</v>
      </c>
      <c r="P40" s="143">
        <v>0</v>
      </c>
      <c r="Q40" s="144">
        <f t="shared" si="1"/>
        <v>3.4820484123478539</v>
      </c>
      <c r="R40" s="144">
        <f t="shared" si="2"/>
        <v>10.045568267836128</v>
      </c>
      <c r="S40" s="144">
        <f t="shared" si="6"/>
        <v>125.62473502107242</v>
      </c>
      <c r="T40" s="144">
        <f t="shared" si="7"/>
        <v>95.120593732493418</v>
      </c>
      <c r="U40" s="145">
        <f t="shared" si="11"/>
        <v>207.21771207338185</v>
      </c>
      <c r="V40" s="143">
        <f t="shared" si="8"/>
        <v>184.4737646807651</v>
      </c>
      <c r="W40" s="143">
        <f t="shared" si="3"/>
        <v>110.89514648200615</v>
      </c>
      <c r="X40" s="146">
        <f t="shared" si="12"/>
        <v>278.4719647557996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5">
        <f>'AAA rated'!E34</f>
        <v>1.7581550929571788</v>
      </c>
      <c r="F41" s="195">
        <f t="shared" si="9"/>
        <v>1.8524399953244881</v>
      </c>
      <c r="G41" s="138">
        <f t="shared" si="4"/>
        <v>0.59010987660515313</v>
      </c>
      <c r="H41" s="115">
        <f>PRODUCT($D$12:D41)</f>
        <v>0.8788272245150891</v>
      </c>
      <c r="I41" s="115">
        <f t="shared" si="14"/>
        <v>0.51860462501584847</v>
      </c>
      <c r="J41" s="139">
        <f>$C$6*SUM(I40:$I$50)/(G40*H40)</f>
        <v>1162.3378799195141</v>
      </c>
      <c r="K41" s="140">
        <f t="shared" si="13"/>
        <v>1.1414072114214302E-2</v>
      </c>
      <c r="L41" s="115">
        <f t="shared" si="15"/>
        <v>6.7355566868813211E-3</v>
      </c>
      <c r="M41" s="141">
        <f t="shared" si="10"/>
        <v>6468.1940147054129</v>
      </c>
      <c r="N41" s="141">
        <f t="shared" si="5"/>
        <v>5305.8561347858986</v>
      </c>
      <c r="O41" s="144">
        <v>0</v>
      </c>
      <c r="P41" s="143">
        <v>0</v>
      </c>
      <c r="Q41" s="144">
        <f t="shared" si="1"/>
        <v>3.5516893805948104</v>
      </c>
      <c r="R41" s="144">
        <f t="shared" si="2"/>
        <v>10.611712269571797</v>
      </c>
      <c r="S41" s="144">
        <f t="shared" si="6"/>
        <v>125.62473502107242</v>
      </c>
      <c r="T41" s="144">
        <f t="shared" si="7"/>
        <v>100.35255545383659</v>
      </c>
      <c r="U41" s="145">
        <f t="shared" si="11"/>
        <v>211.81388882474241</v>
      </c>
      <c r="V41" s="143">
        <f t="shared" si="8"/>
        <v>186.14781202959603</v>
      </c>
      <c r="W41" s="143">
        <f t="shared" si="3"/>
        <v>109.84766238710415</v>
      </c>
      <c r="X41" s="146">
        <f t="shared" si="12"/>
        <v>285.017769794478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5">
        <f>'AAA rated'!E35</f>
        <v>1.7611965415041722</v>
      </c>
      <c r="F42" s="195">
        <f t="shared" si="9"/>
        <v>1.8524399979139758</v>
      </c>
      <c r="G42" s="138">
        <f t="shared" si="4"/>
        <v>0.57927907201461937</v>
      </c>
      <c r="H42" s="115">
        <f>PRODUCT($D$12:D42)</f>
        <v>0.86652907391420675</v>
      </c>
      <c r="I42" s="115">
        <f t="shared" si="14"/>
        <v>0.50196215781070919</v>
      </c>
      <c r="J42" s="139">
        <f>$C$6*SUM(I41:$I$50)/(G41*H41)</f>
        <v>1069.8130326264106</v>
      </c>
      <c r="K42" s="140">
        <f t="shared" si="13"/>
        <v>1.2298150600882352E-2</v>
      </c>
      <c r="L42" s="115">
        <f t="shared" si="15"/>
        <v>7.1240612675751618E-3</v>
      </c>
      <c r="M42" s="141">
        <f t="shared" si="10"/>
        <v>6674.7087065881351</v>
      </c>
      <c r="N42" s="141">
        <f t="shared" si="5"/>
        <v>5604.8956739617242</v>
      </c>
      <c r="O42" s="144">
        <v>0</v>
      </c>
      <c r="P42" s="143">
        <v>0</v>
      </c>
      <c r="Q42" s="144">
        <f t="shared" si="1"/>
        <v>3.6227231682067069</v>
      </c>
      <c r="R42" s="144">
        <f t="shared" si="2"/>
        <v>11.209791347923449</v>
      </c>
      <c r="S42" s="144">
        <f t="shared" si="6"/>
        <v>125.62473502107242</v>
      </c>
      <c r="T42" s="144">
        <f t="shared" si="7"/>
        <v>105.87968871302768</v>
      </c>
      <c r="U42" s="145">
        <f t="shared" si="11"/>
        <v>216.67190921796995</v>
      </c>
      <c r="V42" s="143">
        <f t="shared" si="8"/>
        <v>187.75250883787058</v>
      </c>
      <c r="W42" s="143">
        <f t="shared" si="3"/>
        <v>108.76109908801828</v>
      </c>
      <c r="X42" s="146">
        <f t="shared" si="12"/>
        <v>291.58614481159253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5">
        <f>'AAA rated'!E36</f>
        <v>1.764047899553145</v>
      </c>
      <c r="F43" s="195">
        <f t="shared" si="9"/>
        <v>1.8524399990713007</v>
      </c>
      <c r="G43" s="138">
        <f t="shared" si="4"/>
        <v>0.56864705468192578</v>
      </c>
      <c r="H43" s="115">
        <f>PRODUCT($D$12:D43)</f>
        <v>0.85284713256814604</v>
      </c>
      <c r="I43" s="115">
        <f t="shared" si="14"/>
        <v>0.48496901002880216</v>
      </c>
      <c r="J43" s="139">
        <f>$C$6*SUM(I42:$I$50)/(G42*H42)</f>
        <v>975.49269482704801</v>
      </c>
      <c r="K43" s="140">
        <f t="shared" si="13"/>
        <v>1.3681941346060711E-2</v>
      </c>
      <c r="L43" s="115">
        <f t="shared" si="15"/>
        <v>7.7801956487682867E-3</v>
      </c>
      <c r="M43" s="141">
        <f t="shared" si="10"/>
        <v>6896.0075017756808</v>
      </c>
      <c r="N43" s="141">
        <f t="shared" si="5"/>
        <v>5920.5148069486331</v>
      </c>
      <c r="O43" s="144">
        <v>0</v>
      </c>
      <c r="P43" s="143">
        <v>0</v>
      </c>
      <c r="Q43" s="144">
        <f t="shared" si="1"/>
        <v>3.6951776315708402</v>
      </c>
      <c r="R43" s="144">
        <f t="shared" si="2"/>
        <v>11.841029613897266</v>
      </c>
      <c r="S43" s="144">
        <f t="shared" si="6"/>
        <v>125.62473502107242</v>
      </c>
      <c r="T43" s="144">
        <f t="shared" si="7"/>
        <v>111.7133083577595</v>
      </c>
      <c r="U43" s="145">
        <f t="shared" si="11"/>
        <v>221.80183613336382</v>
      </c>
      <c r="V43" s="143">
        <f t="shared" si="8"/>
        <v>189.16305994468914</v>
      </c>
      <c r="W43" s="143">
        <f t="shared" si="3"/>
        <v>107.56701689216804</v>
      </c>
      <c r="X43" s="146">
        <f t="shared" si="12"/>
        <v>297.97827315468305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5">
        <f>'AAA rated'!E37</f>
        <v>1.7667264480390308</v>
      </c>
      <c r="F44" s="195">
        <f t="shared" si="9"/>
        <v>1.852439999587375</v>
      </c>
      <c r="G44" s="138">
        <f t="shared" si="4"/>
        <v>0.55821017609384593</v>
      </c>
      <c r="H44" s="115">
        <f>PRODUCT($D$12:D44)</f>
        <v>0.83792936449023636</v>
      </c>
      <c r="I44" s="115">
        <f t="shared" si="14"/>
        <v>0.46774069810629926</v>
      </c>
      <c r="J44" s="139">
        <f>$C$6*SUM(I43:$I$50)/(G43*H43)</f>
        <v>879.64704163892236</v>
      </c>
      <c r="K44" s="140">
        <f t="shared" si="13"/>
        <v>1.4917768077909677E-2</v>
      </c>
      <c r="L44" s="115">
        <f t="shared" si="15"/>
        <v>8.3272499456971145E-3</v>
      </c>
      <c r="M44" s="141">
        <f t="shared" si="10"/>
        <v>7137.6412395187463</v>
      </c>
      <c r="N44" s="141">
        <f t="shared" si="5"/>
        <v>6257.9941978798242</v>
      </c>
      <c r="O44" s="144">
        <v>0</v>
      </c>
      <c r="P44" s="143">
        <v>0</v>
      </c>
      <c r="Q44" s="144">
        <f t="shared" si="1"/>
        <v>3.7690811842022578</v>
      </c>
      <c r="R44" s="144">
        <f t="shared" si="2"/>
        <v>12.515988395759649</v>
      </c>
      <c r="S44" s="144">
        <f t="shared" si="6"/>
        <v>125.62473502107242</v>
      </c>
      <c r="T44" s="144">
        <f t="shared" si="7"/>
        <v>117.95103939142913</v>
      </c>
      <c r="U44" s="145">
        <f t="shared" si="11"/>
        <v>227.29070483253966</v>
      </c>
      <c r="V44" s="143">
        <f t="shared" si="8"/>
        <v>190.45355585486786</v>
      </c>
      <c r="W44" s="143">
        <f t="shared" si="3"/>
        <v>106.31311295144491</v>
      </c>
      <c r="X44" s="146">
        <f t="shared" si="12"/>
        <v>304.30177617091687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5">
        <f>'AAA rated'!E38</f>
        <v>1.7692474348560308</v>
      </c>
      <c r="F45" s="195">
        <f t="shared" si="9"/>
        <v>1.8524399998170296</v>
      </c>
      <c r="G45" s="138">
        <f t="shared" si="4"/>
        <v>0.54796485469937128</v>
      </c>
      <c r="H45" s="115">
        <f>PRODUCT($D$12:D45)</f>
        <v>0.82182462496197961</v>
      </c>
      <c r="I45" s="115">
        <f t="shared" si="14"/>
        <v>0.45033101120565644</v>
      </c>
      <c r="J45" s="139">
        <f>$C$6*SUM(I44:$I$50)/(G44*H44)</f>
        <v>781.79524052659701</v>
      </c>
      <c r="K45" s="140">
        <f t="shared" si="13"/>
        <v>1.6104739528256751E-2</v>
      </c>
      <c r="L45" s="115">
        <f t="shared" si="15"/>
        <v>8.8248312555724313E-3</v>
      </c>
      <c r="M45" s="141">
        <f t="shared" si="10"/>
        <v>7400.542266013138</v>
      </c>
      <c r="N45" s="141">
        <f t="shared" si="5"/>
        <v>6618.7470254865411</v>
      </c>
      <c r="O45" s="144">
        <v>0</v>
      </c>
      <c r="P45" s="143">
        <v>0</v>
      </c>
      <c r="Q45" s="144">
        <f t="shared" si="1"/>
        <v>3.8444628078863032</v>
      </c>
      <c r="R45" s="144">
        <f t="shared" si="2"/>
        <v>13.237494050973083</v>
      </c>
      <c r="S45" s="144">
        <f t="shared" si="6"/>
        <v>125.62473502107242</v>
      </c>
      <c r="T45" s="144">
        <f t="shared" si="7"/>
        <v>124.61900722640203</v>
      </c>
      <c r="U45" s="145">
        <f t="shared" si="11"/>
        <v>233.16178538861507</v>
      </c>
      <c r="V45" s="143">
        <f t="shared" si="8"/>
        <v>191.61809683246415</v>
      </c>
      <c r="W45" s="143">
        <f t="shared" si="3"/>
        <v>104.99998258857127</v>
      </c>
      <c r="X45" s="146">
        <f t="shared" si="12"/>
        <v>310.541078902057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5">
        <f>'AAA rated'!E39</f>
        <v>1.771624365286401</v>
      </c>
      <c r="F46" s="195">
        <f t="shared" si="9"/>
        <v>1.8524399999189924</v>
      </c>
      <c r="G46" s="138">
        <f t="shared" si="4"/>
        <v>0.53790757468189987</v>
      </c>
      <c r="H46" s="115">
        <f>PRODUCT($D$12:D46)</f>
        <v>0.8049872230623708</v>
      </c>
      <c r="I46" s="115">
        <f t="shared" si="14"/>
        <v>0.43300872480739744</v>
      </c>
      <c r="J46" s="139">
        <f>$C$6*SUM(I45:$I$50)/(G45*H45)</f>
        <v>681.53789697986076</v>
      </c>
      <c r="K46" s="140">
        <f t="shared" si="13"/>
        <v>1.6837401899608806E-2</v>
      </c>
      <c r="L46" s="115">
        <f t="shared" si="15"/>
        <v>9.056966019762986E-3</v>
      </c>
      <c r="M46" s="141">
        <f t="shared" si="10"/>
        <v>7686.645422447602</v>
      </c>
      <c r="N46" s="141">
        <f t="shared" si="5"/>
        <v>7005.1075254677417</v>
      </c>
      <c r="O46" s="144">
        <v>0</v>
      </c>
      <c r="P46" s="143">
        <v>0</v>
      </c>
      <c r="Q46" s="144">
        <f t="shared" si="1"/>
        <v>3.9213520640440289</v>
      </c>
      <c r="R46" s="144">
        <f t="shared" si="2"/>
        <v>14.010215050935484</v>
      </c>
      <c r="S46" s="144">
        <f t="shared" si="6"/>
        <v>125.62473502107242</v>
      </c>
      <c r="T46" s="144">
        <f t="shared" si="7"/>
        <v>131.76036515857237</v>
      </c>
      <c r="U46" s="145">
        <f t="shared" si="11"/>
        <v>239.45353306466529</v>
      </c>
      <c r="V46" s="143">
        <f t="shared" si="8"/>
        <v>192.7570346341985</v>
      </c>
      <c r="W46" s="143">
        <f t="shared" si="3"/>
        <v>103.68546900295669</v>
      </c>
      <c r="X46" s="146">
        <f t="shared" si="12"/>
        <v>316.85451869488764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5">
        <f>'AAA rated'!E40</f>
        <v>1.7738692440274511</v>
      </c>
      <c r="F47" s="195">
        <f t="shared" si="9"/>
        <v>1.8524399999642043</v>
      </c>
      <c r="G47" s="138">
        <f t="shared" si="4"/>
        <v>0.52803488475328464</v>
      </c>
      <c r="H47" s="115">
        <f>PRODUCT($D$12:D47)</f>
        <v>0.78745298475606429</v>
      </c>
      <c r="I47" s="115">
        <f t="shared" si="14"/>
        <v>0.4158026460542984</v>
      </c>
      <c r="J47" s="139">
        <f>$C$6*SUM(I46:$I$50)/(G46*H46)</f>
        <v>578.15217575301449</v>
      </c>
      <c r="K47" s="140">
        <f t="shared" si="13"/>
        <v>1.7534238306306515E-2</v>
      </c>
      <c r="L47" s="115">
        <f t="shared" si="15"/>
        <v>9.2586895033071898E-3</v>
      </c>
      <c r="M47" s="141">
        <f t="shared" si="10"/>
        <v>7994.1456316148169</v>
      </c>
      <c r="N47" s="141">
        <f t="shared" si="5"/>
        <v>7415.9934558618024</v>
      </c>
      <c r="O47" s="144">
        <v>0</v>
      </c>
      <c r="P47" s="143">
        <v>0</v>
      </c>
      <c r="Q47" s="144">
        <f t="shared" si="1"/>
        <v>3.9997791053249094</v>
      </c>
      <c r="R47" s="144">
        <f t="shared" si="2"/>
        <v>14.831986911723606</v>
      </c>
      <c r="S47" s="144">
        <f t="shared" si="6"/>
        <v>125.62473502107242</v>
      </c>
      <c r="T47" s="144">
        <f t="shared" si="7"/>
        <v>139.35510484609168</v>
      </c>
      <c r="U47" s="178">
        <f t="shared" si="11"/>
        <v>246.14807385011557</v>
      </c>
      <c r="V47" s="154">
        <f t="shared" si="8"/>
        <v>193.83003544522964</v>
      </c>
      <c r="W47" s="154">
        <f t="shared" si="3"/>
        <v>102.34902042804691</v>
      </c>
      <c r="X47" s="146">
        <f t="shared" si="12"/>
        <v>323.17508899492924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5">
        <f>'AAA rated'!E41</f>
        <v>1.775992777972228</v>
      </c>
      <c r="F48" s="195">
        <f t="shared" si="9"/>
        <v>1.8524399999841989</v>
      </c>
      <c r="G48" s="138">
        <f t="shared" si="4"/>
        <v>0.51834339696971909</v>
      </c>
      <c r="H48" s="115">
        <f>PRODUCT($D$12:D48)</f>
        <v>0.76906958583212903</v>
      </c>
      <c r="I48" s="115">
        <f>H48*G48</f>
        <v>0.39864214162632072</v>
      </c>
      <c r="J48" s="139">
        <f>$C$6*SUM(I47:$I$50)/(G47*H47)</f>
        <v>471.25320608494889</v>
      </c>
      <c r="K48" s="140">
        <f>H47-H48</f>
        <v>1.8383398923935257E-2</v>
      </c>
      <c r="L48" s="115">
        <f>K48*G48</f>
        <v>9.5289134460820792E-3</v>
      </c>
      <c r="M48" s="141">
        <f t="shared" si="10"/>
        <v>8324.9465550975056</v>
      </c>
      <c r="N48" s="141">
        <f>M48-J48</f>
        <v>7853.6933490125566</v>
      </c>
      <c r="O48" s="144">
        <v>0</v>
      </c>
      <c r="P48" s="143">
        <v>0</v>
      </c>
      <c r="Q48" s="144">
        <f t="shared" si="1"/>
        <v>4.0797746874314074</v>
      </c>
      <c r="R48" s="144">
        <f t="shared" si="2"/>
        <v>15.707386698025113</v>
      </c>
      <c r="S48" s="144">
        <f t="shared" si="6"/>
        <v>125.62473502107242</v>
      </c>
      <c r="T48" s="144">
        <f t="shared" si="7"/>
        <v>147.44553462224613</v>
      </c>
      <c r="U48" s="178">
        <f t="shared" si="11"/>
        <v>253.28310825786207</v>
      </c>
      <c r="V48" s="154">
        <f t="shared" si="8"/>
        <v>194.79233516614829</v>
      </c>
      <c r="W48" s="154">
        <f t="shared" si="3"/>
        <v>100.96932071368538</v>
      </c>
      <c r="X48" s="146">
        <f t="shared" si="12"/>
        <v>329.42442701475096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5">
        <f>'AAA rated'!E42</f>
        <v>1.7780045469727752</v>
      </c>
      <c r="F49" s="195">
        <f>B49*E49-B48*E48</f>
        <v>1.8524399999930239</v>
      </c>
      <c r="G49" s="138">
        <f t="shared" si="4"/>
        <v>0.50882978556922476</v>
      </c>
      <c r="H49" s="115">
        <f>PRODUCT($D$12:D49)</f>
        <v>0.74962933870011328</v>
      </c>
      <c r="I49" s="115">
        <f t="shared" ref="I49:I51" si="16">H49*G49</f>
        <v>0.38143373566717842</v>
      </c>
      <c r="J49" s="139">
        <f>$C$6*SUM(I48:$I$50)/(G48*H48)</f>
        <v>360.50687524846603</v>
      </c>
      <c r="K49" s="140">
        <f t="shared" ref="K49:K51" si="17">H48-H49</f>
        <v>1.9440247132015753E-2</v>
      </c>
      <c r="L49" s="115">
        <f>K49*G49</f>
        <v>9.8917767795963125E-3</v>
      </c>
      <c r="M49" s="141">
        <f t="shared" si="10"/>
        <v>8683.3137905297863</v>
      </c>
      <c r="N49" s="141">
        <f t="shared" ref="N49:N52" si="18">M49-J49</f>
        <v>8322.8069152813205</v>
      </c>
      <c r="O49" s="144">
        <v>0</v>
      </c>
      <c r="P49" s="143">
        <v>0</v>
      </c>
      <c r="Q49" s="144">
        <f t="shared" si="1"/>
        <v>4.1613701811800361</v>
      </c>
      <c r="R49" s="144">
        <f t="shared" si="2"/>
        <v>16.645613830562642</v>
      </c>
      <c r="S49" s="144">
        <f t="shared" si="6"/>
        <v>125.62473502107242</v>
      </c>
      <c r="T49" s="144">
        <f t="shared" si="7"/>
        <v>156.11669036764661</v>
      </c>
      <c r="U49" s="178">
        <f t="shared" si="11"/>
        <v>260.93444137697639</v>
      </c>
      <c r="V49" s="154">
        <f t="shared" si="8"/>
        <v>195.6041127335063</v>
      </c>
      <c r="W49" s="154">
        <f t="shared" si="3"/>
        <v>99.529198738648475</v>
      </c>
      <c r="X49" s="146">
        <f t="shared" si="12"/>
        <v>335.52821823168665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5">
        <f>'AAA rated'!E43</f>
        <v>1.7799131483323691</v>
      </c>
      <c r="F50" s="195">
        <f t="shared" si="9"/>
        <v>1.8524399999969319</v>
      </c>
      <c r="G50" s="138">
        <f t="shared" si="4"/>
        <v>0.49949078583041739</v>
      </c>
      <c r="H50" s="171">
        <f>PRODUCT($D$12:D50)</f>
        <v>0.72856693040883636</v>
      </c>
      <c r="I50" s="115">
        <f t="shared" si="16"/>
        <v>0.36391246859996468</v>
      </c>
      <c r="J50" s="139">
        <f>$C$6*SUM(I49:$I$50)/(G49*H49)</f>
        <v>245.478862131174</v>
      </c>
      <c r="K50" s="140">
        <f t="shared" si="17"/>
        <v>2.1062408291276924E-2</v>
      </c>
      <c r="L50" s="115">
        <f>K50*G50</f>
        <v>1.0520478868891009E-2</v>
      </c>
      <c r="M50" s="141">
        <f t="shared" si="10"/>
        <v>9075.0620152029114</v>
      </c>
      <c r="N50" s="141">
        <f t="shared" si="18"/>
        <v>8829.5831530717369</v>
      </c>
      <c r="O50" s="144">
        <v>0</v>
      </c>
      <c r="P50" s="143">
        <v>0</v>
      </c>
      <c r="Q50" s="144">
        <f t="shared" si="1"/>
        <v>4.2445975848036372</v>
      </c>
      <c r="R50" s="144">
        <f t="shared" si="2"/>
        <v>17.659166306143476</v>
      </c>
      <c r="S50" s="144">
        <f t="shared" si="6"/>
        <v>125.62473502107242</v>
      </c>
      <c r="T50" s="144">
        <f t="shared" si="7"/>
        <v>165.48409891809089</v>
      </c>
      <c r="U50" s="178">
        <f t="shared" si="11"/>
        <v>269.20507004821627</v>
      </c>
      <c r="V50" s="154">
        <f t="shared" si="8"/>
        <v>196.1339115355247</v>
      </c>
      <c r="W50" s="154">
        <f t="shared" si="3"/>
        <v>97.967081600872802</v>
      </c>
      <c r="X50" s="146">
        <f t="shared" si="12"/>
        <v>341.24861050309477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5">
        <f>'AAA rated'!E44</f>
        <v>1.7817263196240263</v>
      </c>
      <c r="F51" s="195">
        <f t="shared" si="9"/>
        <v>1.8524399999986514</v>
      </c>
      <c r="G51" s="138">
        <f t="shared" si="4"/>
        <v>0.4903231929521964</v>
      </c>
      <c r="H51" s="171">
        <f>PRODUCT($D$12:D51)</f>
        <v>0.70597003275095693</v>
      </c>
      <c r="I51" s="115">
        <f t="shared" si="16"/>
        <v>0.34615348058701584</v>
      </c>
      <c r="J51" s="139">
        <f>$C$6*SUM(I50:$I$50)/(G50*H50)</f>
        <v>125.62473502107244</v>
      </c>
      <c r="K51" s="140">
        <f t="shared" si="17"/>
        <v>2.2596897657879422E-2</v>
      </c>
      <c r="L51" s="115">
        <f t="shared" ref="L51" si="19">K51*G51</f>
        <v>1.1079783010425446E-2</v>
      </c>
      <c r="M51" s="141">
        <f t="shared" si="10"/>
        <v>9511.9983637474488</v>
      </c>
      <c r="N51" s="141">
        <f t="shared" si="18"/>
        <v>9386.3736287263764</v>
      </c>
      <c r="O51" s="144">
        <v>0</v>
      </c>
      <c r="P51" s="154">
        <f>C3*H51</f>
        <v>7059.7003275095694</v>
      </c>
      <c r="Q51" s="144">
        <f t="shared" si="1"/>
        <v>4.3294895364997084</v>
      </c>
      <c r="R51" s="144">
        <f>$C$7*N51</f>
        <v>18.772747257452753</v>
      </c>
      <c r="S51" s="144">
        <f t="shared" si="6"/>
        <v>125.62473502107242</v>
      </c>
      <c r="T51" s="144">
        <f t="shared" si="7"/>
        <v>44.999394667186316</v>
      </c>
      <c r="U51" s="178">
        <f t="shared" si="11"/>
        <v>-6912.1784346152635</v>
      </c>
      <c r="V51" s="154">
        <f t="shared" si="8"/>
        <v>-4879.790835865796</v>
      </c>
      <c r="W51" s="154">
        <f t="shared" si="3"/>
        <v>-2392.6746235805845</v>
      </c>
      <c r="X51" s="146">
        <f t="shared" si="12"/>
        <v>-8611.6534083114602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/>
      <c r="K52" s="115"/>
      <c r="L52" s="115"/>
      <c r="M52" s="141">
        <f t="shared" si="10"/>
        <v>10000.000000000002</v>
      </c>
      <c r="N52" s="141">
        <f t="shared" si="18"/>
        <v>10000.000000000002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12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200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200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O12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92</v>
      </c>
      <c r="D1" s="162"/>
    </row>
    <row r="2" spans="1:37" ht="36.75" customHeight="1" thickBot="1" x14ac:dyDescent="0.3">
      <c r="A2" s="163" t="s">
        <v>62</v>
      </c>
      <c r="B2" s="86"/>
      <c r="C2" s="88">
        <f>'Smith-Wilson'!R4</f>
        <v>2466.3744687568228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92" t="s">
        <v>37</v>
      </c>
      <c r="X3" s="98">
        <f>W11/C2</f>
        <v>0.73951883040810185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114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1.0267526718041546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'Smith-Wilson'!P4</f>
        <v>100.90383339352285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201"/>
      <c r="S6" s="247" t="s">
        <v>41</v>
      </c>
      <c r="T6" s="247"/>
      <c r="U6" s="91"/>
      <c r="V6" s="91"/>
      <c r="W6" s="109" t="s">
        <v>83</v>
      </c>
      <c r="X6" s="98">
        <f>-0.0153</f>
        <v>-1.5299999999999999E-2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122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131">
        <f>SUM(W12:W51)</f>
        <v>1823.930362483449</v>
      </c>
      <c r="X11" s="132">
        <f>SUM(X12:X51)</f>
        <v>4.5564075595993927</v>
      </c>
      <c r="Y11" s="193">
        <f>NPV(X5,V12:V51)</f>
        <v>1.7149857323458776E-11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4">
        <f>'Smith-Wilson'!E4</f>
        <v>1.895</v>
      </c>
      <c r="F12" s="194">
        <f>E12</f>
        <v>1.895</v>
      </c>
      <c r="G12" s="138">
        <f>(1+E12/100)^(-B12)</f>
        <v>0.98140242406398737</v>
      </c>
      <c r="H12" s="115">
        <f>PRODUCT($D$12:D12)</f>
        <v>0.99917201979718562</v>
      </c>
      <c r="I12" s="115">
        <f>H12*G12</f>
        <v>0.98058984228586832</v>
      </c>
      <c r="J12" s="139">
        <v>0</v>
      </c>
      <c r="K12" s="115">
        <f>C12</f>
        <v>8.279802028143497E-4</v>
      </c>
      <c r="L12" s="115">
        <f>K12*G12</f>
        <v>8.1258177811899474E-4</v>
      </c>
      <c r="M12" s="141">
        <v>0</v>
      </c>
      <c r="N12" s="141">
        <f>M12-J12</f>
        <v>0</v>
      </c>
      <c r="O12" s="142">
        <f>C4</f>
        <v>200</v>
      </c>
      <c r="P12" s="143">
        <v>0</v>
      </c>
      <c r="Q12" s="144">
        <f t="shared" ref="Q12:Q51" si="1">$C$8*(1+$C$5)^(B12-1)</f>
        <v>2</v>
      </c>
      <c r="R12" s="144">
        <f t="shared" ref="R12:R50" si="2">$C$7*N12</f>
        <v>0</v>
      </c>
      <c r="S12" s="144">
        <f>$C$6</f>
        <v>100.90383339352285</v>
      </c>
      <c r="T12" s="144">
        <f>F12/100*(N12+S12-O12-Q12-P12-R12)</f>
        <v>-1.9157723571927423</v>
      </c>
      <c r="U12" s="145">
        <f>S12+T12-O12-Q12-R12-P12</f>
        <v>-103.01193896366989</v>
      </c>
      <c r="V12" s="143">
        <f t="shared" ref="V12:V51" si="3">U12*H12</f>
        <v>-102.92664711755445</v>
      </c>
      <c r="W12" s="143">
        <f t="shared" ref="W12:W51" si="4">V12*G12</f>
        <v>-101.01246098194656</v>
      </c>
      <c r="X12" s="3">
        <f>V12*(1+$X$6)^(-B12)</f>
        <v>-104.52589328481207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4">
        <f>'Smith-Wilson'!E5</f>
        <v>2.2349999999999999</v>
      </c>
      <c r="F13" s="194">
        <f>B13*E13-B12*E12</f>
        <v>2.5749999999999997</v>
      </c>
      <c r="G13" s="138">
        <f t="shared" ref="G13:G51" si="5">(1+E13/100)^(-B13)</f>
        <v>0.95675512519189831</v>
      </c>
      <c r="H13" s="115">
        <f>PRODUCT($D$12:D13)</f>
        <v>0.99823320922948466</v>
      </c>
      <c r="I13" s="115">
        <f>H13*G13</f>
        <v>0.95506473906706602</v>
      </c>
      <c r="J13" s="139">
        <f>$C$6*SUM(I12:$I$50)/(G12*H12)</f>
        <v>2412.2936352768197</v>
      </c>
      <c r="K13" s="140">
        <f>H12-H13</f>
        <v>9.3881056770095395E-4</v>
      </c>
      <c r="L13" s="115">
        <f>K13*G13</f>
        <v>8.9821182223220333E-4</v>
      </c>
      <c r="M13" s="141">
        <f>$C$3*$I$51/(G12*H12)</f>
        <v>2515.1947964374367</v>
      </c>
      <c r="N13" s="141">
        <f t="shared" ref="N13:N47" si="6">M13-J13</f>
        <v>102.90116116061699</v>
      </c>
      <c r="O13" s="144">
        <v>0</v>
      </c>
      <c r="P13" s="143">
        <v>0</v>
      </c>
      <c r="Q13" s="144">
        <f t="shared" si="1"/>
        <v>2.04</v>
      </c>
      <c r="R13" s="144">
        <f t="shared" si="2"/>
        <v>0.20580232232123399</v>
      </c>
      <c r="S13" s="144">
        <f t="shared" ref="S13:S51" si="7">$C$6</f>
        <v>100.90383339352285</v>
      </c>
      <c r="T13" s="144">
        <f t="shared" ref="T13:T51" si="8">F13/100*(N13+S13-O13-Q13-P13-R13)</f>
        <v>5.190149199969329</v>
      </c>
      <c r="U13" s="145">
        <f>S13+T13-O13-Q13-R13-P13</f>
        <v>103.84818027117093</v>
      </c>
      <c r="V13" s="143">
        <f t="shared" si="3"/>
        <v>103.66470226473301</v>
      </c>
      <c r="W13" s="143">
        <f t="shared" si="4"/>
        <v>99.1817351932755</v>
      </c>
      <c r="X13" s="3">
        <f t="shared" ref="X13:X52" si="9">V13*(1+$X$6)^(-B13)</f>
        <v>106.91115683106089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4">
        <f>'Smith-Wilson'!E6</f>
        <v>2.2650000000000001</v>
      </c>
      <c r="F14" s="194">
        <f t="shared" ref="F14:F51" si="10">B14*E14-B13*E13</f>
        <v>2.3250000000000002</v>
      </c>
      <c r="G14" s="138">
        <f t="shared" si="5"/>
        <v>0.93501576177130874</v>
      </c>
      <c r="H14" s="115">
        <f>PRODUCT($D$12:D14)</f>
        <v>0.99720309581120525</v>
      </c>
      <c r="I14" s="115">
        <f>H14*G14</f>
        <v>0.93240061227062143</v>
      </c>
      <c r="J14" s="139">
        <f>$C$6*SUM(I13:$I$50)/(G13*H13)</f>
        <v>2373.1641098004638</v>
      </c>
      <c r="K14" s="140">
        <f>H13-H14</f>
        <v>1.0301134182794103E-3</v>
      </c>
      <c r="L14" s="115">
        <f>K14*G14</f>
        <v>9.6317228250336964E-4</v>
      </c>
      <c r="M14" s="141">
        <f t="shared" ref="M14:M52" si="11">$C$3*$I$51/(G13*H13)</f>
        <v>2582.4160058155289</v>
      </c>
      <c r="N14" s="141">
        <f t="shared" si="6"/>
        <v>209.25189601506509</v>
      </c>
      <c r="O14" s="144">
        <v>0</v>
      </c>
      <c r="P14" s="143">
        <v>0</v>
      </c>
      <c r="Q14" s="144">
        <f t="shared" si="1"/>
        <v>2.0808</v>
      </c>
      <c r="R14" s="144">
        <f t="shared" si="2"/>
        <v>0.41850379203013016</v>
      </c>
      <c r="S14" s="144">
        <f t="shared" si="7"/>
        <v>100.90383339352285</v>
      </c>
      <c r="T14" s="144">
        <f t="shared" si="8"/>
        <v>7.1530118955849691</v>
      </c>
      <c r="U14" s="145">
        <f t="shared" ref="U14:U51" si="12">S14+T14-O14-Q14-R14-P14</f>
        <v>105.55754149707768</v>
      </c>
      <c r="V14" s="143">
        <f t="shared" si="3"/>
        <v>105.26230716710563</v>
      </c>
      <c r="W14" s="143">
        <f t="shared" si="4"/>
        <v>98.421916321656767</v>
      </c>
      <c r="X14" s="3">
        <f t="shared" si="9"/>
        <v>110.24555065210959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4">
        <f>'Smith-Wilson'!E7</f>
        <v>2.2919999999999998</v>
      </c>
      <c r="F15" s="194">
        <f t="shared" si="10"/>
        <v>2.3729999999999993</v>
      </c>
      <c r="G15" s="138">
        <f t="shared" si="5"/>
        <v>0.91334177083315038</v>
      </c>
      <c r="H15" s="115">
        <f>PRODUCT($D$12:D15)</f>
        <v>0.99615955299866155</v>
      </c>
      <c r="I15" s="115">
        <f>H15*G15</f>
        <v>0.90983413016815706</v>
      </c>
      <c r="J15" s="139">
        <f>$C$6*SUM(I14:$I$50)/(G14*H14)</f>
        <v>2327.4927530283358</v>
      </c>
      <c r="K15" s="140">
        <f t="shared" ref="K15:K47" si="13">H14-H15</f>
        <v>1.0435428125437074E-3</v>
      </c>
      <c r="L15" s="115">
        <f>K15*G15</f>
        <v>9.5311124034887598E-4</v>
      </c>
      <c r="M15" s="141">
        <f t="shared" si="11"/>
        <v>2645.1875259397389</v>
      </c>
      <c r="N15" s="141">
        <f t="shared" si="6"/>
        <v>317.69477291140311</v>
      </c>
      <c r="O15" s="144">
        <v>0</v>
      </c>
      <c r="P15" s="143">
        <v>0</v>
      </c>
      <c r="Q15" s="144">
        <f t="shared" si="1"/>
        <v>2.1224159999999999</v>
      </c>
      <c r="R15" s="144">
        <f t="shared" si="2"/>
        <v>0.63538954582280627</v>
      </c>
      <c r="S15" s="144">
        <f t="shared" si="7"/>
        <v>100.90383339352285</v>
      </c>
      <c r="T15" s="144">
        <f t="shared" si="8"/>
        <v>9.8679022020135161</v>
      </c>
      <c r="U15" s="145">
        <f t="shared" si="12"/>
        <v>108.01393004971355</v>
      </c>
      <c r="V15" s="143">
        <f t="shared" si="3"/>
        <v>107.59910827595135</v>
      </c>
      <c r="W15" s="143">
        <f t="shared" si="4"/>
        <v>98.274760092825289</v>
      </c>
      <c r="X15" s="3">
        <f t="shared" si="9"/>
        <v>114.44397148329038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4">
        <f>'Smith-Wilson'!E8</f>
        <v>2.323</v>
      </c>
      <c r="F16" s="194">
        <f t="shared" si="10"/>
        <v>2.447000000000001</v>
      </c>
      <c r="G16" s="138">
        <f t="shared" si="5"/>
        <v>0.89152530871603453</v>
      </c>
      <c r="H16" s="115">
        <f>PRODUCT($D$12:D16)</f>
        <v>0.99513503894949118</v>
      </c>
      <c r="I16" s="115">
        <f t="shared" ref="I16:I47" si="14">H16*G16</f>
        <v>0.88718807281358814</v>
      </c>
      <c r="J16" s="139">
        <f>$C$6*SUM(I15:$I$50)/(G15*H15)</f>
        <v>2281.814677098097</v>
      </c>
      <c r="K16" s="140">
        <f t="shared" si="13"/>
        <v>1.0245140491703664E-3</v>
      </c>
      <c r="L16" s="115">
        <f t="shared" ref="L16:L47" si="15">K16*G16</f>
        <v>9.1338020397052546E-4</v>
      </c>
      <c r="M16" s="141">
        <f t="shared" si="11"/>
        <v>2710.7957230632614</v>
      </c>
      <c r="N16" s="141">
        <f t="shared" si="6"/>
        <v>428.98104596516441</v>
      </c>
      <c r="O16" s="144">
        <v>0</v>
      </c>
      <c r="P16" s="143">
        <v>0</v>
      </c>
      <c r="Q16" s="144">
        <f t="shared" si="1"/>
        <v>2.16486432</v>
      </c>
      <c r="R16" s="144">
        <f t="shared" si="2"/>
        <v>0.8579620919303288</v>
      </c>
      <c r="S16" s="144">
        <f t="shared" si="7"/>
        <v>100.90383339352285</v>
      </c>
      <c r="T16" s="144">
        <f t="shared" si="8"/>
        <v>12.892314435607148</v>
      </c>
      <c r="U16" s="145">
        <f t="shared" si="12"/>
        <v>110.77332141719965</v>
      </c>
      <c r="V16" s="143">
        <f t="shared" si="3"/>
        <v>110.23441352306948</v>
      </c>
      <c r="W16" s="143">
        <f t="shared" si="4"/>
        <v>98.276769547285525</v>
      </c>
      <c r="X16" s="3">
        <f t="shared" si="9"/>
        <v>119.0686710160805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4">
        <f>'Smith-Wilson'!E9</f>
        <v>2.351</v>
      </c>
      <c r="F17" s="194">
        <f t="shared" si="10"/>
        <v>2.4909999999999997</v>
      </c>
      <c r="G17" s="138">
        <f t="shared" si="5"/>
        <v>0.86985619090845567</v>
      </c>
      <c r="H17" s="115">
        <f>PRODUCT($D$12:D17)</f>
        <v>0.99406934438051142</v>
      </c>
      <c r="I17" s="115">
        <f>H17*G17</f>
        <v>0.8646973734016975</v>
      </c>
      <c r="J17" s="139">
        <f>$C$6*SUM(I16:$I$50)/(G16*H16)</f>
        <v>2236.5800231775406</v>
      </c>
      <c r="K17" s="140">
        <f t="shared" si="13"/>
        <v>1.0656945689797581E-3</v>
      </c>
      <c r="L17" s="115">
        <f t="shared" si="15"/>
        <v>9.2700101844456087E-4</v>
      </c>
      <c r="M17" s="141">
        <f t="shared" si="11"/>
        <v>2779.990561567261</v>
      </c>
      <c r="N17" s="141">
        <f t="shared" si="6"/>
        <v>543.41053838972039</v>
      </c>
      <c r="O17" s="144">
        <v>0</v>
      </c>
      <c r="P17" s="143">
        <v>0</v>
      </c>
      <c r="Q17" s="144">
        <f t="shared" si="1"/>
        <v>2.2081616064</v>
      </c>
      <c r="R17" s="144">
        <f t="shared" si="2"/>
        <v>1.0868210767794408</v>
      </c>
      <c r="S17" s="144">
        <f t="shared" si="7"/>
        <v>100.90383339352285</v>
      </c>
      <c r="T17" s="144">
        <f t="shared" si="8"/>
        <v>15.967792982482587</v>
      </c>
      <c r="U17" s="145">
        <f t="shared" si="12"/>
        <v>113.576643692826</v>
      </c>
      <c r="V17" s="143">
        <f t="shared" si="3"/>
        <v>112.90305973266649</v>
      </c>
      <c r="W17" s="143">
        <f t="shared" si="4"/>
        <v>98.209425480967113</v>
      </c>
      <c r="X17" s="3">
        <f t="shared" si="9"/>
        <v>123.84602850218747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4">
        <f>'Smith-Wilson'!E10</f>
        <v>2.3769999999999998</v>
      </c>
      <c r="F18" s="194">
        <f t="shared" si="10"/>
        <v>2.5329999999999995</v>
      </c>
      <c r="G18" s="138">
        <f t="shared" si="5"/>
        <v>0.84836590535103229</v>
      </c>
      <c r="H18" s="115">
        <f>PRODUCT($D$12:D18)</f>
        <v>0.99284921734070164</v>
      </c>
      <c r="I18" s="115">
        <f t="shared" si="14"/>
        <v>0.84229942514630818</v>
      </c>
      <c r="J18" s="139">
        <f>$C$6*SUM(I17:$I$50)/(G17*H17)</f>
        <v>2191.2249316942707</v>
      </c>
      <c r="K18" s="140">
        <f t="shared" si="13"/>
        <v>1.2201270398097819E-3</v>
      </c>
      <c r="L18" s="115">
        <f t="shared" si="15"/>
        <v>1.0351141807715006E-3</v>
      </c>
      <c r="M18" s="141">
        <f t="shared" si="11"/>
        <v>2852.2978612207048</v>
      </c>
      <c r="N18" s="141">
        <f t="shared" si="6"/>
        <v>661.07292952643411</v>
      </c>
      <c r="O18" s="144">
        <v>0</v>
      </c>
      <c r="P18" s="143">
        <v>0</v>
      </c>
      <c r="Q18" s="144">
        <f t="shared" si="1"/>
        <v>2.2523248385280001</v>
      </c>
      <c r="R18" s="144">
        <f t="shared" si="2"/>
        <v>1.3221458590528683</v>
      </c>
      <c r="S18" s="144">
        <f t="shared" si="7"/>
        <v>100.90383339352285</v>
      </c>
      <c r="T18" s="144">
        <f t="shared" si="8"/>
        <v>19.210330061992781</v>
      </c>
      <c r="U18" s="145">
        <f t="shared" si="12"/>
        <v>116.53969275793476</v>
      </c>
      <c r="V18" s="143">
        <f t="shared" si="3"/>
        <v>115.70634274384136</v>
      </c>
      <c r="W18" s="143">
        <f t="shared" si="4"/>
        <v>98.161316216735827</v>
      </c>
      <c r="X18" s="3">
        <f t="shared" si="9"/>
        <v>128.89307986111086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4">
        <f>'Smith-Wilson'!E11</f>
        <v>2.411</v>
      </c>
      <c r="F19" s="194">
        <f t="shared" si="10"/>
        <v>2.6490000000000009</v>
      </c>
      <c r="G19" s="138">
        <f t="shared" si="5"/>
        <v>0.82647009771891766</v>
      </c>
      <c r="H19" s="115">
        <f>PRODUCT($D$12:D19)</f>
        <v>0.99144316150046929</v>
      </c>
      <c r="I19" s="115">
        <f t="shared" si="14"/>
        <v>0.81939812656804556</v>
      </c>
      <c r="J19" s="139">
        <f>$C$6*SUM(I18:$I$50)/(G18*H18)</f>
        <v>2145.9057305575679</v>
      </c>
      <c r="K19" s="140">
        <f t="shared" si="13"/>
        <v>1.4060558402323453E-3</v>
      </c>
      <c r="L19" s="115">
        <f>K19*G19</f>
        <v>1.1620631076750814E-3</v>
      </c>
      <c r="M19" s="141">
        <f t="shared" si="11"/>
        <v>2928.1445470871731</v>
      </c>
      <c r="N19" s="141">
        <f t="shared" si="6"/>
        <v>782.23881652960517</v>
      </c>
      <c r="O19" s="144">
        <v>0</v>
      </c>
      <c r="P19" s="143">
        <v>0</v>
      </c>
      <c r="Q19" s="144">
        <f t="shared" si="1"/>
        <v>2.2973713352985596</v>
      </c>
      <c r="R19" s="144">
        <f t="shared" si="2"/>
        <v>1.5644776330592103</v>
      </c>
      <c r="S19" s="144">
        <f t="shared" si="7"/>
        <v>100.90383339352285</v>
      </c>
      <c r="T19" s="144">
        <f t="shared" si="8"/>
        <v>23.292148417291873</v>
      </c>
      <c r="U19" s="145">
        <f t="shared" si="12"/>
        <v>120.33413284245694</v>
      </c>
      <c r="V19" s="143">
        <f t="shared" si="3"/>
        <v>119.30445310174296</v>
      </c>
      <c r="W19" s="143">
        <f t="shared" si="4"/>
        <v>98.60156301329954</v>
      </c>
      <c r="X19" s="3">
        <f t="shared" si="9"/>
        <v>134.96624054866888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4">
        <f>'Smith-Wilson'!E12</f>
        <v>2.4449999999999998</v>
      </c>
      <c r="F20" s="194">
        <f t="shared" si="10"/>
        <v>2.7169999999999987</v>
      </c>
      <c r="G20" s="138">
        <f t="shared" si="5"/>
        <v>0.8046056889981662</v>
      </c>
      <c r="H20" s="115">
        <f>PRODUCT($D$12:D20)</f>
        <v>0.98989429002974061</v>
      </c>
      <c r="I20" s="115">
        <f t="shared" si="14"/>
        <v>0.79647457726473003</v>
      </c>
      <c r="J20" s="139">
        <f>$C$6*SUM(I19:$I$50)/(G19*H19)</f>
        <v>2102.1575062892739</v>
      </c>
      <c r="K20" s="140">
        <f t="shared" si="13"/>
        <v>1.5488714707286855E-3</v>
      </c>
      <c r="L20" s="115">
        <f>K20*G20</f>
        <v>1.2462307968752571E-3</v>
      </c>
      <c r="M20" s="141">
        <f t="shared" si="11"/>
        <v>3009.9830458326132</v>
      </c>
      <c r="N20" s="141">
        <f t="shared" si="6"/>
        <v>907.82553954333935</v>
      </c>
      <c r="O20" s="144">
        <v>0</v>
      </c>
      <c r="P20" s="143">
        <v>0</v>
      </c>
      <c r="Q20" s="144">
        <f t="shared" si="1"/>
        <v>2.343318762004531</v>
      </c>
      <c r="R20" s="144">
        <f t="shared" si="2"/>
        <v>1.8156510790866787</v>
      </c>
      <c r="S20" s="144">
        <f t="shared" si="7"/>
        <v>100.90383339352285</v>
      </c>
      <c r="T20" s="144">
        <f t="shared" si="8"/>
        <v>27.294177852112082</v>
      </c>
      <c r="U20" s="145">
        <f t="shared" si="12"/>
        <v>124.03904140454371</v>
      </c>
      <c r="V20" s="143">
        <f t="shared" si="3"/>
        <v>122.78553882712039</v>
      </c>
      <c r="W20" s="143">
        <f t="shared" si="4"/>
        <v>98.793943067006296</v>
      </c>
      <c r="X20" s="3">
        <f t="shared" si="9"/>
        <v>141.06256584264293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4">
        <f>'Smith-Wilson'!E13</f>
        <v>2.4830000000000001</v>
      </c>
      <c r="F21" s="194">
        <f>B21*E21-B20*E20</f>
        <v>2.8250000000000028</v>
      </c>
      <c r="G21" s="138">
        <f t="shared" si="5"/>
        <v>0.7824952305219991</v>
      </c>
      <c r="H21" s="115">
        <f>PRODUCT($D$12:D21)</f>
        <v>0.98820462254350394</v>
      </c>
      <c r="I21" s="115">
        <f>H21*G21</f>
        <v>0.77326540392008425</v>
      </c>
      <c r="J21" s="139">
        <f>$C$6*SUM(I20:$I$50)/(G20*H20)</f>
        <v>2058.8522938041733</v>
      </c>
      <c r="K21" s="140">
        <f t="shared" si="13"/>
        <v>1.6896674862366678E-3</v>
      </c>
      <c r="L21" s="115">
        <f>K21*G21</f>
        <v>1.3221567491482882E-3</v>
      </c>
      <c r="M21" s="141">
        <f t="shared" si="11"/>
        <v>3096.6141784799943</v>
      </c>
      <c r="N21" s="141">
        <f t="shared" si="6"/>
        <v>1037.761884675821</v>
      </c>
      <c r="O21" s="144">
        <v>0</v>
      </c>
      <c r="P21" s="143">
        <v>0</v>
      </c>
      <c r="Q21" s="144">
        <f t="shared" si="1"/>
        <v>2.3901851372446217</v>
      </c>
      <c r="R21" s="144">
        <f t="shared" si="2"/>
        <v>2.075523769351642</v>
      </c>
      <c r="S21" s="144">
        <f t="shared" si="7"/>
        <v>100.90383339352285</v>
      </c>
      <c r="T21" s="144">
        <f t="shared" si="8"/>
        <v>32.041150258847651</v>
      </c>
      <c r="U21" s="145">
        <f>S21+T21-O21-Q21-R21-P21</f>
        <v>128.47927474577423</v>
      </c>
      <c r="V21" s="143">
        <f t="shared" si="3"/>
        <v>126.96381320481096</v>
      </c>
      <c r="W21" s="143">
        <f t="shared" si="4"/>
        <v>99.348578281650589</v>
      </c>
      <c r="X21" s="3">
        <f t="shared" si="9"/>
        <v>148.12916620101026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4">
        <f>'Smith-Wilson'!E14</f>
        <v>2.532</v>
      </c>
      <c r="F22" s="194">
        <f t="shared" si="10"/>
        <v>3.0219999999999985</v>
      </c>
      <c r="G22" s="138">
        <f t="shared" si="5"/>
        <v>0.75953236151181847</v>
      </c>
      <c r="H22" s="115">
        <f>PRODUCT($D$12:D22)</f>
        <v>0.98643332382785143</v>
      </c>
      <c r="I22" s="115">
        <f t="shared" si="14"/>
        <v>0.74922803192092036</v>
      </c>
      <c r="J22" s="139">
        <f>$C$6*SUM(I21:$I$50)/(G21*H21)</f>
        <v>2016.7153016364216</v>
      </c>
      <c r="K22" s="140">
        <f t="shared" si="13"/>
        <v>1.771298715652514E-3</v>
      </c>
      <c r="L22" s="115">
        <f t="shared" si="15"/>
        <v>1.3453586964424049E-3</v>
      </c>
      <c r="M22" s="141">
        <f t="shared" si="11"/>
        <v>3189.5575002495762</v>
      </c>
      <c r="N22" s="141">
        <f t="shared" si="6"/>
        <v>1172.8421986131546</v>
      </c>
      <c r="O22" s="144">
        <v>0</v>
      </c>
      <c r="P22" s="143">
        <v>0</v>
      </c>
      <c r="Q22" s="144">
        <f t="shared" si="1"/>
        <v>2.4379888399895142</v>
      </c>
      <c r="R22" s="144">
        <f t="shared" si="2"/>
        <v>2.3456843972263091</v>
      </c>
      <c r="S22" s="144">
        <f t="shared" si="7"/>
        <v>100.90383339352285</v>
      </c>
      <c r="T22" s="144">
        <f t="shared" si="8"/>
        <v>38.348042482013106</v>
      </c>
      <c r="U22" s="145">
        <f t="shared" si="12"/>
        <v>134.46820263832012</v>
      </c>
      <c r="V22" s="143">
        <f t="shared" si="3"/>
        <v>132.64391607767519</v>
      </c>
      <c r="W22" s="143">
        <f t="shared" si="4"/>
        <v>100.7473468186521</v>
      </c>
      <c r="X22" s="3">
        <f t="shared" si="9"/>
        <v>157.16072299754262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4">
        <f>'Smith-Wilson'!E15</f>
        <v>2.54</v>
      </c>
      <c r="F23" s="194">
        <f t="shared" si="10"/>
        <v>2.6280000000000001</v>
      </c>
      <c r="G23" s="138">
        <f t="shared" si="5"/>
        <v>0.74008268361599594</v>
      </c>
      <c r="H23" s="115">
        <f>PRODUCT($D$12:D23)</f>
        <v>0.98449893900552066</v>
      </c>
      <c r="I23" s="115">
        <f t="shared" si="14"/>
        <v>0.72861061679630645</v>
      </c>
      <c r="J23" s="139">
        <f>$C$6*SUM(I22:$I$50)/(G22*H22)</f>
        <v>1977.276163876817</v>
      </c>
      <c r="K23" s="140">
        <f t="shared" si="13"/>
        <v>1.9343848223307702E-3</v>
      </c>
      <c r="L23" s="115">
        <f t="shared" si="15"/>
        <v>1.431604710456608E-3</v>
      </c>
      <c r="M23" s="141">
        <f t="shared" si="11"/>
        <v>3291.8876012064966</v>
      </c>
      <c r="N23" s="141">
        <f t="shared" si="6"/>
        <v>1314.6114373296796</v>
      </c>
      <c r="O23" s="144">
        <v>0</v>
      </c>
      <c r="P23" s="143">
        <v>0</v>
      </c>
      <c r="Q23" s="144">
        <f t="shared" si="1"/>
        <v>2.486748616789304</v>
      </c>
      <c r="R23" s="144">
        <f t="shared" si="2"/>
        <v>2.6292228746593591</v>
      </c>
      <c r="S23" s="144">
        <f t="shared" si="7"/>
        <v>100.90383339352285</v>
      </c>
      <c r="T23" s="144">
        <f t="shared" si="8"/>
        <v>37.065293583810487</v>
      </c>
      <c r="U23" s="145">
        <f t="shared" si="12"/>
        <v>132.85315548588468</v>
      </c>
      <c r="V23" s="143">
        <f t="shared" si="3"/>
        <v>130.79379061938894</v>
      </c>
      <c r="W23" s="143">
        <f t="shared" si="4"/>
        <v>96.798219561906052</v>
      </c>
      <c r="X23" s="3">
        <f t="shared" si="9"/>
        <v>157.37649600496525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4">
        <f>'Smith-Wilson'!E16</f>
        <v>2.5499999999999998</v>
      </c>
      <c r="F24" s="194">
        <f t="shared" si="10"/>
        <v>2.6699999999999982</v>
      </c>
      <c r="G24" s="138">
        <f t="shared" si="5"/>
        <v>0.72083581873515035</v>
      </c>
      <c r="H24" s="115">
        <f>PRODUCT($D$12:D24)</f>
        <v>0.98234137479650641</v>
      </c>
      <c r="I24" s="115">
        <f t="shared" si="14"/>
        <v>0.70810684917885292</v>
      </c>
      <c r="J24" s="139">
        <f>$C$6*SUM(I23:$I$50)/(G23*H23)</f>
        <v>1929.4678335875651</v>
      </c>
      <c r="K24" s="140">
        <f t="shared" si="13"/>
        <v>2.1575642090142511E-3</v>
      </c>
      <c r="L24" s="115">
        <f t="shared" si="15"/>
        <v>1.5552495630784446E-3</v>
      </c>
      <c r="M24" s="141">
        <f t="shared" si="11"/>
        <v>3385.0377854792268</v>
      </c>
      <c r="N24" s="141">
        <f t="shared" si="6"/>
        <v>1455.5699518916617</v>
      </c>
      <c r="O24" s="144">
        <v>0</v>
      </c>
      <c r="P24" s="143">
        <v>0</v>
      </c>
      <c r="Q24" s="144">
        <f t="shared" si="1"/>
        <v>2.5364835891250905</v>
      </c>
      <c r="R24" s="144">
        <f t="shared" si="2"/>
        <v>2.9111399037833237</v>
      </c>
      <c r="S24" s="144">
        <f t="shared" si="7"/>
        <v>100.90383339352285</v>
      </c>
      <c r="T24" s="144">
        <f t="shared" si="8"/>
        <v>41.412398519853738</v>
      </c>
      <c r="U24" s="145">
        <f t="shared" si="12"/>
        <v>136.86860842046818</v>
      </c>
      <c r="V24" s="143">
        <f t="shared" si="3"/>
        <v>134.45169696224741</v>
      </c>
      <c r="W24" s="143">
        <f t="shared" si="4"/>
        <v>96.917599060111939</v>
      </c>
      <c r="X24" s="3">
        <f t="shared" si="9"/>
        <v>164.29150008916062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4">
        <f>'Smith-Wilson'!E17</f>
        <v>2.5609999999999999</v>
      </c>
      <c r="F25" s="194">
        <f t="shared" si="10"/>
        <v>2.7040000000000006</v>
      </c>
      <c r="G25" s="138">
        <f t="shared" si="5"/>
        <v>0.70185685544270882</v>
      </c>
      <c r="H25" s="115">
        <f>PRODUCT($D$12:D25)</f>
        <v>0.97987941659878797</v>
      </c>
      <c r="I25" s="115">
        <f t="shared" si="14"/>
        <v>0.68773508604706135</v>
      </c>
      <c r="J25" s="139">
        <f>$C$6*SUM(I24:$I$50)/(G24*H24)</f>
        <v>1881.5114492648966</v>
      </c>
      <c r="K25" s="140">
        <f t="shared" si="13"/>
        <v>2.461958197718439E-3</v>
      </c>
      <c r="L25" s="115">
        <f t="shared" si="15"/>
        <v>1.7279422388820625E-3</v>
      </c>
      <c r="M25" s="141">
        <f t="shared" si="11"/>
        <v>3483.0541063356786</v>
      </c>
      <c r="N25" s="141">
        <f t="shared" si="6"/>
        <v>1601.5426570707821</v>
      </c>
      <c r="O25" s="144">
        <v>0</v>
      </c>
      <c r="P25" s="143">
        <v>0</v>
      </c>
      <c r="Q25" s="144">
        <f t="shared" si="1"/>
        <v>2.5872132609075922</v>
      </c>
      <c r="R25" s="144">
        <f t="shared" si="2"/>
        <v>3.2030853141415641</v>
      </c>
      <c r="S25" s="144">
        <f t="shared" si="7"/>
        <v>100.90383339352285</v>
      </c>
      <c r="T25" s="144">
        <f t="shared" si="8"/>
        <v>45.877583428685476</v>
      </c>
      <c r="U25" s="145">
        <f t="shared" si="12"/>
        <v>140.99111824715916</v>
      </c>
      <c r="V25" s="143">
        <f t="shared" si="3"/>
        <v>138.15429469363704</v>
      </c>
      <c r="W25" s="143">
        <f t="shared" si="4"/>
        <v>96.964538839581408</v>
      </c>
      <c r="X25" s="3">
        <f t="shared" si="9"/>
        <v>171.43885565831351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4">
        <f>'Smith-Wilson'!E18</f>
        <v>2.5579999999999998</v>
      </c>
      <c r="F26" s="194">
        <f t="shared" si="10"/>
        <v>2.5159999999999982</v>
      </c>
      <c r="G26" s="138">
        <f t="shared" si="5"/>
        <v>0.68463146471630254</v>
      </c>
      <c r="H26" s="115">
        <f>PRODUCT($D$12:D26)</f>
        <v>0.97718549882519523</v>
      </c>
      <c r="I26" s="115">
        <f t="shared" si="14"/>
        <v>0.66901193936022418</v>
      </c>
      <c r="J26" s="139">
        <f>$C$6*SUM(I25:$I$50)/(G25*H25)</f>
        <v>1833.3519316946226</v>
      </c>
      <c r="K26" s="140">
        <f t="shared" si="13"/>
        <v>2.6939177735927355E-3</v>
      </c>
      <c r="L26" s="115">
        <f t="shared" si="15"/>
        <v>1.8443408711600752E-3</v>
      </c>
      <c r="M26" s="141">
        <f t="shared" si="11"/>
        <v>3586.2274861283581</v>
      </c>
      <c r="N26" s="141">
        <f t="shared" si="6"/>
        <v>1752.8755544337355</v>
      </c>
      <c r="O26" s="144">
        <v>0</v>
      </c>
      <c r="P26" s="143">
        <v>0</v>
      </c>
      <c r="Q26" s="144">
        <f t="shared" si="1"/>
        <v>2.6389575261257443</v>
      </c>
      <c r="R26" s="144">
        <f t="shared" si="2"/>
        <v>3.5057511088674711</v>
      </c>
      <c r="S26" s="144">
        <f t="shared" si="7"/>
        <v>100.90383339352285</v>
      </c>
      <c r="T26" s="144">
        <f t="shared" si="8"/>
        <v>46.486488528477352</v>
      </c>
      <c r="U26" s="145">
        <f t="shared" si="12"/>
        <v>141.24561328700699</v>
      </c>
      <c r="V26" s="143">
        <f t="shared" si="3"/>
        <v>138.02316507673456</v>
      </c>
      <c r="W26" s="143">
        <f t="shared" si="4"/>
        <v>94.495001671264802</v>
      </c>
      <c r="X26" s="3">
        <f t="shared" si="9"/>
        <v>173.93737573636309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4">
        <f>'Smith-Wilson'!E19</f>
        <v>2.5339999999999998</v>
      </c>
      <c r="F27" s="194">
        <f t="shared" si="10"/>
        <v>2.1739999999999995</v>
      </c>
      <c r="G27" s="138">
        <f t="shared" si="5"/>
        <v>0.67005985251452693</v>
      </c>
      <c r="H27" s="115">
        <f>PRODUCT($D$12:D27)</f>
        <v>0.97429439263230044</v>
      </c>
      <c r="I27" s="115">
        <f t="shared" si="14"/>
        <v>0.65283555703292984</v>
      </c>
      <c r="J27" s="139">
        <f>$C$6*SUM(I26:$I$50)/(G26*H26)</f>
        <v>1780.9328531514286</v>
      </c>
      <c r="K27" s="140">
        <f t="shared" si="13"/>
        <v>2.8911061928947879E-3</v>
      </c>
      <c r="L27" s="115">
        <f t="shared" si="15"/>
        <v>1.937214189214917E-3</v>
      </c>
      <c r="M27" s="141">
        <f t="shared" si="11"/>
        <v>3686.592605679677</v>
      </c>
      <c r="N27" s="141">
        <f t="shared" si="6"/>
        <v>1905.6597525282484</v>
      </c>
      <c r="O27" s="144">
        <v>0</v>
      </c>
      <c r="P27" s="143">
        <v>0</v>
      </c>
      <c r="Q27" s="144">
        <f t="shared" si="1"/>
        <v>2.6917366766482584</v>
      </c>
      <c r="R27" s="144">
        <f t="shared" si="2"/>
        <v>3.8113195050564967</v>
      </c>
      <c r="S27" s="144">
        <f t="shared" si="7"/>
        <v>100.90383339352285</v>
      </c>
      <c r="T27" s="144">
        <f t="shared" si="8"/>
        <v>43.481315916549036</v>
      </c>
      <c r="U27" s="145">
        <f t="shared" si="12"/>
        <v>137.88209312836713</v>
      </c>
      <c r="V27" s="143">
        <f t="shared" si="3"/>
        <v>134.33775017937273</v>
      </c>
      <c r="W27" s="143">
        <f t="shared" si="4"/>
        <v>90.014333072323851</v>
      </c>
      <c r="X27" s="3">
        <f t="shared" si="9"/>
        <v>171.92342877315949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4">
        <f>'Smith-Wilson'!E20</f>
        <v>2.4969999999999999</v>
      </c>
      <c r="F28" s="194">
        <f t="shared" si="10"/>
        <v>1.9050000000000011</v>
      </c>
      <c r="G28" s="138">
        <f t="shared" si="5"/>
        <v>0.65752213783948488</v>
      </c>
      <c r="H28" s="115">
        <f>PRODUCT($D$12:D28)</f>
        <v>0.97101924835240661</v>
      </c>
      <c r="I28" s="115">
        <f t="shared" si="14"/>
        <v>0.63846665205996411</v>
      </c>
      <c r="J28" s="139">
        <f>$C$6*SUM(I27:$I$50)/(G27*H27)</f>
        <v>1721.6578671020502</v>
      </c>
      <c r="K28" s="140">
        <f t="shared" si="13"/>
        <v>3.2751442798938379E-3</v>
      </c>
      <c r="L28" s="115">
        <f t="shared" si="15"/>
        <v>2.1534798686485565E-3</v>
      </c>
      <c r="M28" s="141">
        <f t="shared" si="11"/>
        <v>3777.9413853715932</v>
      </c>
      <c r="N28" s="141">
        <f t="shared" si="6"/>
        <v>2056.283518269543</v>
      </c>
      <c r="O28" s="144">
        <v>0</v>
      </c>
      <c r="P28" s="143">
        <v>0</v>
      </c>
      <c r="Q28" s="144">
        <f t="shared" si="1"/>
        <v>2.7455714101812241</v>
      </c>
      <c r="R28" s="144">
        <f t="shared" si="2"/>
        <v>4.1125670365390858</v>
      </c>
      <c r="S28" s="144">
        <f t="shared" si="7"/>
        <v>100.90383339352285</v>
      </c>
      <c r="T28" s="144">
        <f t="shared" si="8"/>
        <v>40.963771511771405</v>
      </c>
      <c r="U28" s="145">
        <f t="shared" si="12"/>
        <v>135.00946645857397</v>
      </c>
      <c r="V28" s="143">
        <f t="shared" si="3"/>
        <v>131.09679064106393</v>
      </c>
      <c r="W28" s="143">
        <f t="shared" si="4"/>
        <v>86.199042046207737</v>
      </c>
      <c r="X28" s="3">
        <f t="shared" si="9"/>
        <v>170.382550608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4">
        <f>'Smith-Wilson'!E21</f>
        <v>2.4580000000000002</v>
      </c>
      <c r="F29" s="194">
        <f t="shared" si="10"/>
        <v>1.7950000000000017</v>
      </c>
      <c r="G29" s="138">
        <f t="shared" si="5"/>
        <v>0.64591335772898839</v>
      </c>
      <c r="H29" s="115">
        <f>PRODUCT($D$12:D29)</f>
        <v>0.96730639780222649</v>
      </c>
      <c r="I29" s="115">
        <f t="shared" si="14"/>
        <v>0.62479612335716872</v>
      </c>
      <c r="J29" s="139">
        <f>$C$6*SUM(I28:$I$50)/(G28*H28)</f>
        <v>1657.2296438594574</v>
      </c>
      <c r="K29" s="140">
        <f t="shared" si="13"/>
        <v>3.7128505501801135E-3</v>
      </c>
      <c r="L29" s="115">
        <f t="shared" si="15"/>
        <v>2.3981797656127588E-3</v>
      </c>
      <c r="M29" s="141">
        <f t="shared" si="11"/>
        <v>3862.9652164279105</v>
      </c>
      <c r="N29" s="141">
        <f t="shared" si="6"/>
        <v>2205.7355725684529</v>
      </c>
      <c r="O29" s="144">
        <v>0</v>
      </c>
      <c r="P29" s="143">
        <v>0</v>
      </c>
      <c r="Q29" s="144">
        <f t="shared" si="1"/>
        <v>2.8004828383848488</v>
      </c>
      <c r="R29" s="144">
        <f t="shared" si="2"/>
        <v>4.4114711451369057</v>
      </c>
      <c r="S29" s="144">
        <f t="shared" si="7"/>
        <v>100.90383339352285</v>
      </c>
      <c r="T29" s="144">
        <f t="shared" si="8"/>
        <v>41.27472276301328</v>
      </c>
      <c r="U29" s="145">
        <f t="shared" si="12"/>
        <v>134.96660217301437</v>
      </c>
      <c r="V29" s="143">
        <f t="shared" si="3"/>
        <v>130.55405777158467</v>
      </c>
      <c r="W29" s="143">
        <f t="shared" si="4"/>
        <v>84.326609820388583</v>
      </c>
      <c r="X29" s="3">
        <f t="shared" si="9"/>
        <v>172.31357473626554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4">
        <f>'Smith-Wilson'!E22</f>
        <v>2.4239999999999999</v>
      </c>
      <c r="F30" s="194">
        <f t="shared" si="10"/>
        <v>1.8119999999999976</v>
      </c>
      <c r="G30" s="138">
        <f t="shared" si="5"/>
        <v>0.63440570943635777</v>
      </c>
      <c r="H30" s="115">
        <f>PRODUCT($D$12:D30)</f>
        <v>0.96309783319744502</v>
      </c>
      <c r="I30" s="115">
        <f t="shared" si="14"/>
        <v>0.61099476412624409</v>
      </c>
      <c r="J30" s="139">
        <f>$C$6*SUM(I29:$I$50)/(G29*H29)</f>
        <v>1590.3781931032599</v>
      </c>
      <c r="K30" s="140">
        <f t="shared" si="13"/>
        <v>4.2085646047814729E-3</v>
      </c>
      <c r="L30" s="115">
        <f t="shared" si="15"/>
        <v>2.669937413805135E-3</v>
      </c>
      <c r="M30" s="141">
        <f t="shared" si="11"/>
        <v>3947.4868305911432</v>
      </c>
      <c r="N30" s="141">
        <f t="shared" si="6"/>
        <v>2357.1086374878832</v>
      </c>
      <c r="O30" s="144">
        <v>0</v>
      </c>
      <c r="P30" s="143">
        <v>0</v>
      </c>
      <c r="Q30" s="144">
        <f t="shared" si="1"/>
        <v>2.8564924951525454</v>
      </c>
      <c r="R30" s="144">
        <f t="shared" si="2"/>
        <v>4.7142172749757663</v>
      </c>
      <c r="S30" s="144">
        <f t="shared" si="7"/>
        <v>100.90383339352285</v>
      </c>
      <c r="T30" s="144">
        <f t="shared" si="8"/>
        <v>44.402004711336296</v>
      </c>
      <c r="U30" s="145">
        <f t="shared" si="12"/>
        <v>137.73512833473083</v>
      </c>
      <c r="V30" s="143">
        <f t="shared" si="3"/>
        <v>132.65240365435128</v>
      </c>
      <c r="W30" s="143">
        <f t="shared" si="4"/>
        <v>84.155442248776822</v>
      </c>
      <c r="X30" s="3">
        <f t="shared" si="9"/>
        <v>177.80349904118106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4">
        <f>'Smith-Wilson'!E23</f>
        <v>2.399</v>
      </c>
      <c r="F31" s="194">
        <f t="shared" si="10"/>
        <v>1.9240000000000066</v>
      </c>
      <c r="G31" s="138">
        <f t="shared" si="5"/>
        <v>0.62242308351708586</v>
      </c>
      <c r="H31" s="115">
        <f>PRODUCT($D$12:D31)</f>
        <v>0.9584939744600528</v>
      </c>
      <c r="I31" s="115">
        <f t="shared" si="14"/>
        <v>0.59658877511597297</v>
      </c>
      <c r="J31" s="139">
        <f>$C$6*SUM(I30:$I$50)/(G30*H30)</f>
        <v>1523.1191172601598</v>
      </c>
      <c r="K31" s="140">
        <f t="shared" si="13"/>
        <v>4.6038587373922191E-3</v>
      </c>
      <c r="L31" s="115">
        <f t="shared" si="15"/>
        <v>2.8655479514047427E-3</v>
      </c>
      <c r="M31" s="141">
        <f t="shared" si="11"/>
        <v>4036.6540166409986</v>
      </c>
      <c r="N31" s="141">
        <f t="shared" si="6"/>
        <v>2513.5348993808389</v>
      </c>
      <c r="O31" s="144">
        <v>0</v>
      </c>
      <c r="P31" s="143">
        <v>0</v>
      </c>
      <c r="Q31" s="144">
        <f t="shared" si="1"/>
        <v>2.9136223450555963</v>
      </c>
      <c r="R31" s="144">
        <f t="shared" si="2"/>
        <v>5.0270697987616781</v>
      </c>
      <c r="S31" s="144">
        <f t="shared" si="7"/>
        <v>100.90383339352285</v>
      </c>
      <c r="T31" s="144">
        <f t="shared" si="8"/>
        <v>50.149022301731847</v>
      </c>
      <c r="U31" s="145">
        <f t="shared" si="12"/>
        <v>143.11216355143742</v>
      </c>
      <c r="V31" s="143">
        <f t="shared" si="3"/>
        <v>137.17214643599436</v>
      </c>
      <c r="W31" s="143">
        <f t="shared" si="4"/>
        <v>85.37911035734885</v>
      </c>
      <c r="X31" s="3">
        <f t="shared" si="9"/>
        <v>186.71842528411014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4">
        <f>'Smith-Wilson'!E24</f>
        <v>2.3839999999999999</v>
      </c>
      <c r="F32" s="194">
        <f t="shared" si="10"/>
        <v>2.0839999999999961</v>
      </c>
      <c r="G32" s="138">
        <f t="shared" si="5"/>
        <v>0.6097138363711978</v>
      </c>
      <c r="H32" s="115">
        <f>PRODUCT($D$12:D32)</f>
        <v>0.95334846950538654</v>
      </c>
      <c r="I32" s="115">
        <f t="shared" si="14"/>
        <v>0.58126975274073911</v>
      </c>
      <c r="J32" s="139">
        <f>$C$6*SUM(I31:$I$50)/(G31*H31)</f>
        <v>1456.5578974125247</v>
      </c>
      <c r="K32" s="140">
        <f t="shared" si="13"/>
        <v>5.1455049546662579E-3</v>
      </c>
      <c r="L32" s="115">
        <f t="shared" si="15"/>
        <v>3.1372855659765704E-3</v>
      </c>
      <c r="M32" s="141">
        <f t="shared" si="11"/>
        <v>4134.1281828129868</v>
      </c>
      <c r="N32" s="141">
        <f t="shared" si="6"/>
        <v>2677.5702854004621</v>
      </c>
      <c r="O32" s="144">
        <v>0</v>
      </c>
      <c r="P32" s="143">
        <v>0</v>
      </c>
      <c r="Q32" s="144">
        <f t="shared" si="1"/>
        <v>2.9718947919567085</v>
      </c>
      <c r="R32" s="144">
        <f t="shared" si="2"/>
        <v>5.3551405708009243</v>
      </c>
      <c r="S32" s="144">
        <f t="shared" si="7"/>
        <v>100.90383339352285</v>
      </c>
      <c r="T32" s="144">
        <f t="shared" si="8"/>
        <v>57.729865218706664</v>
      </c>
      <c r="U32" s="145">
        <f t="shared" si="12"/>
        <v>150.30666324947188</v>
      </c>
      <c r="V32" s="143">
        <f t="shared" si="3"/>
        <v>143.29462736534555</v>
      </c>
      <c r="W32" s="143">
        <f t="shared" si="4"/>
        <v>87.368716982306054</v>
      </c>
      <c r="X32" s="3">
        <f t="shared" si="9"/>
        <v>198.08300285897542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4">
        <f>'Smith-Wilson'!E25</f>
        <v>2.379</v>
      </c>
      <c r="F33" s="194">
        <f t="shared" si="10"/>
        <v>2.2740000000000009</v>
      </c>
      <c r="G33" s="138">
        <f t="shared" si="5"/>
        <v>0.59615689248155235</v>
      </c>
      <c r="H33" s="115">
        <f>PRODUCT($D$12:D33)</f>
        <v>0.94778226433062707</v>
      </c>
      <c r="I33" s="115">
        <f t="shared" si="14"/>
        <v>0.5650269294524759</v>
      </c>
      <c r="J33" s="139">
        <f>$C$6*SUM(I32:$I$50)/(G32*H32)</f>
        <v>1391.3815293513435</v>
      </c>
      <c r="K33" s="140">
        <f t="shared" si="13"/>
        <v>5.5662051747594754E-3</v>
      </c>
      <c r="L33" s="115">
        <f t="shared" si="15"/>
        <v>3.318331579899345E-3</v>
      </c>
      <c r="M33" s="141">
        <f t="shared" si="11"/>
        <v>4243.0806989829516</v>
      </c>
      <c r="N33" s="141">
        <f t="shared" si="6"/>
        <v>2851.6991696316081</v>
      </c>
      <c r="O33" s="144">
        <v>0</v>
      </c>
      <c r="P33" s="143">
        <v>0</v>
      </c>
      <c r="Q33" s="144">
        <f t="shared" si="1"/>
        <v>3.0313326877958424</v>
      </c>
      <c r="R33" s="144">
        <f t="shared" si="2"/>
        <v>5.7033983392632166</v>
      </c>
      <c r="S33" s="144">
        <f t="shared" si="7"/>
        <v>100.90383339352285</v>
      </c>
      <c r="T33" s="144">
        <f t="shared" si="8"/>
        <v>66.943564505236182</v>
      </c>
      <c r="U33" s="145">
        <f t="shared" si="12"/>
        <v>159.11266687169996</v>
      </c>
      <c r="V33" s="143">
        <f t="shared" si="3"/>
        <v>150.80416369134454</v>
      </c>
      <c r="W33" s="143">
        <f t="shared" si="4"/>
        <v>89.902941599511308</v>
      </c>
      <c r="X33" s="3">
        <f t="shared" si="9"/>
        <v>211.70284691026268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4">
        <f>'Smith-Wilson'!E26</f>
        <v>2.38</v>
      </c>
      <c r="F34" s="194">
        <f t="shared" si="10"/>
        <v>2.4019999999999939</v>
      </c>
      <c r="G34" s="138">
        <f t="shared" si="5"/>
        <v>0.58217308069554108</v>
      </c>
      <c r="H34" s="115">
        <f>PRODUCT($D$12:D34)</f>
        <v>0.94172175522327528</v>
      </c>
      <c r="I34" s="115">
        <f t="shared" si="14"/>
        <v>0.54824505539634638</v>
      </c>
      <c r="J34" s="139">
        <f>$C$6*SUM(I33:$I$50)/(G33*H33)</f>
        <v>1327.5750449163911</v>
      </c>
      <c r="K34" s="140">
        <f t="shared" si="13"/>
        <v>6.0605091073517858E-3</v>
      </c>
      <c r="L34" s="115">
        <f t="shared" si="15"/>
        <v>3.5282652576103728E-3</v>
      </c>
      <c r="M34" s="141">
        <f t="shared" si="11"/>
        <v>4365.0564958855966</v>
      </c>
      <c r="N34" s="141">
        <f t="shared" si="6"/>
        <v>3037.4814509692055</v>
      </c>
      <c r="O34" s="144">
        <v>0</v>
      </c>
      <c r="P34" s="143">
        <v>0</v>
      </c>
      <c r="Q34" s="144">
        <f t="shared" si="1"/>
        <v>3.0919593415517594</v>
      </c>
      <c r="R34" s="144">
        <f t="shared" si="2"/>
        <v>6.0749629019384113</v>
      </c>
      <c r="S34" s="144">
        <f t="shared" si="7"/>
        <v>100.90383339352285</v>
      </c>
      <c r="T34" s="144">
        <f t="shared" si="8"/>
        <v>75.16382505810391</v>
      </c>
      <c r="U34" s="145">
        <f t="shared" si="12"/>
        <v>166.90073620813658</v>
      </c>
      <c r="V34" s="143">
        <f t="shared" si="3"/>
        <v>157.17405424998324</v>
      </c>
      <c r="W34" s="143">
        <f t="shared" si="4"/>
        <v>91.502503368120841</v>
      </c>
      <c r="X34" s="3">
        <f t="shared" si="9"/>
        <v>224.07338948508604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4">
        <f>'Smith-Wilson'!E27</f>
        <v>2.387</v>
      </c>
      <c r="F35" s="194">
        <f t="shared" si="10"/>
        <v>2.5480000000000018</v>
      </c>
      <c r="G35" s="138">
        <f t="shared" si="5"/>
        <v>0.56770715216320067</v>
      </c>
      <c r="H35" s="115">
        <f>PRODUCT($D$12:D35)</f>
        <v>0.93514321995631577</v>
      </c>
      <c r="I35" s="115">
        <f t="shared" si="14"/>
        <v>0.53088749426612558</v>
      </c>
      <c r="J35" s="139">
        <f>$C$6*SUM(I34:$I$50)/(G34*H34)</f>
        <v>1264.2198251901168</v>
      </c>
      <c r="K35" s="140">
        <f t="shared" si="13"/>
        <v>6.5785352669595065E-3</v>
      </c>
      <c r="L35" s="115">
        <f t="shared" si="15"/>
        <v>3.7346815218107627E-3</v>
      </c>
      <c r="M35" s="141">
        <f t="shared" si="11"/>
        <v>4498.6716149656668</v>
      </c>
      <c r="N35" s="141">
        <f t="shared" si="6"/>
        <v>3234.45178977555</v>
      </c>
      <c r="O35" s="144">
        <v>0</v>
      </c>
      <c r="P35" s="143">
        <v>0</v>
      </c>
      <c r="Q35" s="144">
        <f t="shared" si="1"/>
        <v>3.1537985283827941</v>
      </c>
      <c r="R35" s="144">
        <f t="shared" si="2"/>
        <v>6.4689035795511005</v>
      </c>
      <c r="S35" s="144">
        <f t="shared" si="7"/>
        <v>100.90383339352285</v>
      </c>
      <c r="T35" s="144">
        <f t="shared" si="8"/>
        <v>84.739674828637888</v>
      </c>
      <c r="U35" s="145">
        <f t="shared" si="12"/>
        <v>176.02080611422684</v>
      </c>
      <c r="V35" s="143">
        <f t="shared" si="3"/>
        <v>164.60466340896446</v>
      </c>
      <c r="W35" s="143">
        <f t="shared" si="4"/>
        <v>93.447244696685416</v>
      </c>
      <c r="X35" s="3">
        <f t="shared" si="9"/>
        <v>238.31294027624264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4">
        <f>'Smith-Wilson'!E28</f>
        <v>2.3969999999999998</v>
      </c>
      <c r="F36" s="194">
        <f t="shared" si="10"/>
        <v>2.6370000000000005</v>
      </c>
      <c r="G36" s="138">
        <f t="shared" si="5"/>
        <v>0.55311976214736913</v>
      </c>
      <c r="H36" s="115">
        <f>PRODUCT($D$12:D36)</f>
        <v>0.92768528834132047</v>
      </c>
      <c r="I36" s="115">
        <f t="shared" si="14"/>
        <v>0.51312106603496477</v>
      </c>
      <c r="J36" s="139">
        <f>$C$6*SUM(I35:$I$50)/(G35*H35)</f>
        <v>1201.351034361094</v>
      </c>
      <c r="K36" s="140">
        <f t="shared" si="13"/>
        <v>7.4579316149953057E-3</v>
      </c>
      <c r="L36" s="115">
        <f t="shared" si="15"/>
        <v>4.1251293609975478E-3</v>
      </c>
      <c r="M36" s="141">
        <f t="shared" si="11"/>
        <v>4645.7573316286635</v>
      </c>
      <c r="N36" s="141">
        <f t="shared" si="6"/>
        <v>3444.4062972675692</v>
      </c>
      <c r="O36" s="144">
        <v>0</v>
      </c>
      <c r="P36" s="143">
        <v>0</v>
      </c>
      <c r="Q36" s="144">
        <f t="shared" si="1"/>
        <v>3.2168744989504501</v>
      </c>
      <c r="R36" s="144">
        <f t="shared" si="2"/>
        <v>6.8888125945351391</v>
      </c>
      <c r="S36" s="144">
        <f t="shared" si="7"/>
        <v>100.90383339352285</v>
      </c>
      <c r="T36" s="144">
        <f t="shared" si="8"/>
        <v>93.22334117687781</v>
      </c>
      <c r="U36" s="145">
        <f t="shared" si="12"/>
        <v>184.02148747691507</v>
      </c>
      <c r="V36" s="143">
        <f t="shared" si="3"/>
        <v>170.71402667102066</v>
      </c>
      <c r="W36" s="143">
        <f t="shared" si="4"/>
        <v>94.425301827494579</v>
      </c>
      <c r="X36" s="3">
        <f t="shared" si="9"/>
        <v>250.99828742747906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4">
        <f>'Smith-Wilson'!E29</f>
        <v>2.41</v>
      </c>
      <c r="F37" s="194">
        <f t="shared" si="10"/>
        <v>2.7350000000000065</v>
      </c>
      <c r="G37" s="138">
        <f t="shared" si="5"/>
        <v>0.5383918541078454</v>
      </c>
      <c r="H37" s="115">
        <f>PRODUCT($D$12:D37)</f>
        <v>0.91935247309226886</v>
      </c>
      <c r="I37" s="115">
        <f t="shared" si="14"/>
        <v>0.49497188256677971</v>
      </c>
      <c r="J37" s="139">
        <f>$C$6*SUM(I36:$I$50)/(G36*H36)</f>
        <v>1138.5493517314219</v>
      </c>
      <c r="K37" s="140">
        <f t="shared" si="13"/>
        <v>8.3328152490516061E-3</v>
      </c>
      <c r="L37" s="115">
        <f t="shared" si="15"/>
        <v>4.4863198518750218E-3</v>
      </c>
      <c r="M37" s="141">
        <f t="shared" si="11"/>
        <v>4806.6131601557763</v>
      </c>
      <c r="N37" s="141">
        <f t="shared" si="6"/>
        <v>3668.0638084243546</v>
      </c>
      <c r="O37" s="144">
        <v>0</v>
      </c>
      <c r="P37" s="143">
        <v>0</v>
      </c>
      <c r="Q37" s="144">
        <f t="shared" si="1"/>
        <v>3.2812119889294591</v>
      </c>
      <c r="R37" s="144">
        <f t="shared" si="2"/>
        <v>7.3361276168487093</v>
      </c>
      <c r="S37" s="144">
        <f t="shared" si="7"/>
        <v>100.90383339352285</v>
      </c>
      <c r="T37" s="144">
        <f t="shared" si="8"/>
        <v>102.79088076550116</v>
      </c>
      <c r="U37" s="145">
        <f t="shared" si="12"/>
        <v>193.07737455324582</v>
      </c>
      <c r="V37" s="143">
        <f t="shared" si="3"/>
        <v>177.50616179368885</v>
      </c>
      <c r="W37" s="143">
        <f t="shared" si="4"/>
        <v>95.567871563671332</v>
      </c>
      <c r="X37" s="3">
        <f t="shared" si="9"/>
        <v>265.03977089683025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4">
        <f>'Smith-Wilson'!E30</f>
        <v>2.4260000000000002</v>
      </c>
      <c r="F38" s="194">
        <f t="shared" si="10"/>
        <v>2.8420000000000059</v>
      </c>
      <c r="G38" s="138">
        <f t="shared" si="5"/>
        <v>0.52350912543308847</v>
      </c>
      <c r="H38" s="115">
        <f>PRODUCT($D$12:D38)</f>
        <v>0.9102993702325356</v>
      </c>
      <c r="I38" s="115">
        <f t="shared" si="14"/>
        <v>0.47655002719272593</v>
      </c>
      <c r="J38" s="139">
        <f>$C$6*SUM(I37:$I$50)/(G37*H37)</f>
        <v>1075.6929702246509</v>
      </c>
      <c r="K38" s="140">
        <f t="shared" si="13"/>
        <v>9.0531028597332641E-3</v>
      </c>
      <c r="L38" s="115">
        <f t="shared" si="15"/>
        <v>4.7393819605547529E-3</v>
      </c>
      <c r="M38" s="141">
        <f t="shared" si="11"/>
        <v>4982.857725103343</v>
      </c>
      <c r="N38" s="141">
        <f t="shared" si="6"/>
        <v>3907.1647548786923</v>
      </c>
      <c r="O38" s="144">
        <v>0</v>
      </c>
      <c r="P38" s="143">
        <v>0</v>
      </c>
      <c r="Q38" s="144">
        <f t="shared" si="1"/>
        <v>3.3468362287080486</v>
      </c>
      <c r="R38" s="144">
        <f t="shared" si="2"/>
        <v>7.8143295097573846</v>
      </c>
      <c r="S38" s="144">
        <f t="shared" si="7"/>
        <v>100.90383339352285</v>
      </c>
      <c r="T38" s="144">
        <f t="shared" si="8"/>
        <v>113.5921089484094</v>
      </c>
      <c r="U38" s="145">
        <f t="shared" si="12"/>
        <v>203.33477660346682</v>
      </c>
      <c r="V38" s="143">
        <f t="shared" si="3"/>
        <v>185.09551908850915</v>
      </c>
      <c r="W38" s="143">
        <f t="shared" si="4"/>
        <v>96.899193319608955</v>
      </c>
      <c r="X38" s="3">
        <f t="shared" si="9"/>
        <v>280.66585535052582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4">
        <f>'Smith-Wilson'!E31</f>
        <v>2.4430000000000001</v>
      </c>
      <c r="F39" s="194">
        <f t="shared" si="10"/>
        <v>2.9019999999999868</v>
      </c>
      <c r="G39" s="138">
        <f t="shared" si="5"/>
        <v>0.50874005527143717</v>
      </c>
      <c r="H39" s="115">
        <f>PRODUCT($D$12:D39)</f>
        <v>0.90062735185070897</v>
      </c>
      <c r="I39" s="115">
        <f t="shared" si="14"/>
        <v>0.45818520875949775</v>
      </c>
      <c r="J39" s="139">
        <f>$C$6*SUM(I38:$I$50)/(G38*H38)</f>
        <v>1012.4712761118366</v>
      </c>
      <c r="K39" s="140">
        <f t="shared" si="13"/>
        <v>9.6720183818266303E-3</v>
      </c>
      <c r="L39" s="115">
        <f t="shared" si="15"/>
        <v>4.920543166156836E-3</v>
      </c>
      <c r="M39" s="141">
        <f t="shared" si="11"/>
        <v>5175.4786025001604</v>
      </c>
      <c r="N39" s="141">
        <f t="shared" si="6"/>
        <v>4163.0073263883241</v>
      </c>
      <c r="O39" s="144">
        <v>0</v>
      </c>
      <c r="P39" s="143">
        <v>0</v>
      </c>
      <c r="Q39" s="144">
        <f t="shared" si="1"/>
        <v>3.413772953282209</v>
      </c>
      <c r="R39" s="144">
        <f t="shared" si="2"/>
        <v>8.3260146527766477</v>
      </c>
      <c r="S39" s="144">
        <f t="shared" si="7"/>
        <v>100.90383339352285</v>
      </c>
      <c r="T39" s="144">
        <f t="shared" si="8"/>
        <v>123.39801322054083</v>
      </c>
      <c r="U39" s="145">
        <f t="shared" si="12"/>
        <v>212.56205900800481</v>
      </c>
      <c r="V39" s="143">
        <f t="shared" si="3"/>
        <v>191.43920430831352</v>
      </c>
      <c r="W39" s="143">
        <f t="shared" si="4"/>
        <v>97.392791380931371</v>
      </c>
      <c r="X39" s="3">
        <f t="shared" si="9"/>
        <v>294.79534317573405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4">
        <f>'Smith-Wilson'!E32</f>
        <v>2.4609999999999999</v>
      </c>
      <c r="F40" s="194">
        <f t="shared" si="10"/>
        <v>2.9650000000000034</v>
      </c>
      <c r="G40" s="138">
        <f t="shared" si="5"/>
        <v>0.49408410706604067</v>
      </c>
      <c r="H40" s="115">
        <f>PRODUCT($D$12:D40)</f>
        <v>0.8902412966293034</v>
      </c>
      <c r="I40" s="115">
        <f t="shared" si="14"/>
        <v>0.4398540761184036</v>
      </c>
      <c r="J40" s="139">
        <f>$C$6*SUM(I39:$I$50)/(G39*H39)</f>
        <v>948.10456843760164</v>
      </c>
      <c r="K40" s="140">
        <f t="shared" si="13"/>
        <v>1.0386055221405566E-2</v>
      </c>
      <c r="L40" s="115">
        <f t="shared" si="15"/>
        <v>5.1315848200067585E-3</v>
      </c>
      <c r="M40" s="141">
        <f t="shared" si="11"/>
        <v>5382.9203160755615</v>
      </c>
      <c r="N40" s="141">
        <f t="shared" si="6"/>
        <v>4434.8157476379602</v>
      </c>
      <c r="O40" s="144">
        <v>0</v>
      </c>
      <c r="P40" s="143">
        <v>0</v>
      </c>
      <c r="Q40" s="144">
        <f t="shared" si="1"/>
        <v>3.4820484123478539</v>
      </c>
      <c r="R40" s="144">
        <f t="shared" si="2"/>
        <v>8.8696314952759199</v>
      </c>
      <c r="S40" s="144">
        <f t="shared" si="7"/>
        <v>100.90383339352285</v>
      </c>
      <c r="T40" s="144">
        <f t="shared" si="8"/>
        <v>134.11785826832261</v>
      </c>
      <c r="U40" s="145">
        <f t="shared" si="12"/>
        <v>222.67001175422169</v>
      </c>
      <c r="V40" s="143">
        <f t="shared" si="3"/>
        <v>198.23003998454055</v>
      </c>
      <c r="W40" s="143">
        <f t="shared" si="4"/>
        <v>97.942312299427257</v>
      </c>
      <c r="X40" s="3">
        <f t="shared" si="9"/>
        <v>309.99541391058995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4">
        <f>'Smith-Wilson'!E33</f>
        <v>2.4790000000000001</v>
      </c>
      <c r="F41" s="194">
        <f t="shared" si="10"/>
        <v>3.0010000000000048</v>
      </c>
      <c r="G41" s="138">
        <f t="shared" si="5"/>
        <v>0.47968223412986721</v>
      </c>
      <c r="H41" s="115">
        <f>PRODUCT($D$12:D41)</f>
        <v>0.8788272245150891</v>
      </c>
      <c r="I41" s="115">
        <f t="shared" si="14"/>
        <v>0.42155780646954832</v>
      </c>
      <c r="J41" s="139">
        <f>$C$6*SUM(I40:$I$50)/(G40*H40)</f>
        <v>882.50823789769561</v>
      </c>
      <c r="K41" s="140">
        <f t="shared" si="13"/>
        <v>1.1414072114214302E-2</v>
      </c>
      <c r="L41" s="115">
        <f t="shared" si="15"/>
        <v>5.4751276122657335E-3</v>
      </c>
      <c r="M41" s="141">
        <f t="shared" si="11"/>
        <v>5607.2561394040677</v>
      </c>
      <c r="N41" s="141">
        <f t="shared" si="6"/>
        <v>4724.7479015063718</v>
      </c>
      <c r="O41" s="144">
        <v>0</v>
      </c>
      <c r="P41" s="143">
        <v>0</v>
      </c>
      <c r="Q41" s="144">
        <f t="shared" si="1"/>
        <v>3.5516893805948104</v>
      </c>
      <c r="R41" s="144">
        <f t="shared" si="2"/>
        <v>9.4494958030127432</v>
      </c>
      <c r="S41" s="144">
        <f t="shared" si="7"/>
        <v>100.90383339352285</v>
      </c>
      <c r="T41" s="144">
        <f t="shared" si="8"/>
        <v>144.42764299698601</v>
      </c>
      <c r="U41" s="145">
        <f t="shared" si="12"/>
        <v>232.33029120690128</v>
      </c>
      <c r="V41" s="143">
        <f t="shared" si="3"/>
        <v>204.17818499214346</v>
      </c>
      <c r="W41" s="143">
        <f t="shared" si="4"/>
        <v>97.940647937612695</v>
      </c>
      <c r="X41" s="3">
        <f t="shared" si="9"/>
        <v>324.25837454608154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4">
        <f>'Smith-Wilson'!E34</f>
        <v>2.4990000000000001</v>
      </c>
      <c r="F42" s="194">
        <f t="shared" si="10"/>
        <v>3.0990000000000038</v>
      </c>
      <c r="G42" s="138">
        <f t="shared" si="5"/>
        <v>0.46525550564194662</v>
      </c>
      <c r="H42" s="115">
        <f>PRODUCT($D$12:D42)</f>
        <v>0.86652907391420675</v>
      </c>
      <c r="I42" s="115">
        <f t="shared" si="14"/>
        <v>0.40315742243740199</v>
      </c>
      <c r="J42" s="139">
        <f>$C$6*SUM(I41:$I$50)/(G41*H41)</f>
        <v>815.52726092878584</v>
      </c>
      <c r="K42" s="140">
        <f t="shared" si="13"/>
        <v>1.2298150600882352E-2</v>
      </c>
      <c r="L42" s="115">
        <f t="shared" si="15"/>
        <v>5.721782276274328E-3</v>
      </c>
      <c r="M42" s="141">
        <f t="shared" si="11"/>
        <v>5850.6198459759371</v>
      </c>
      <c r="N42" s="141">
        <f t="shared" si="6"/>
        <v>5035.0925850471513</v>
      </c>
      <c r="O42" s="144">
        <v>0</v>
      </c>
      <c r="P42" s="143">
        <v>0</v>
      </c>
      <c r="Q42" s="144">
        <f t="shared" si="1"/>
        <v>3.6227231682067069</v>
      </c>
      <c r="R42" s="144">
        <f t="shared" si="2"/>
        <v>10.070185170094303</v>
      </c>
      <c r="S42" s="144">
        <f t="shared" si="7"/>
        <v>100.90383339352285</v>
      </c>
      <c r="T42" s="144">
        <f t="shared" si="8"/>
        <v>158.74018577807274</v>
      </c>
      <c r="U42" s="145">
        <f t="shared" si="12"/>
        <v>245.95111083329454</v>
      </c>
      <c r="V42" s="143">
        <f t="shared" si="3"/>
        <v>213.12378829854515</v>
      </c>
      <c r="W42" s="143">
        <f t="shared" si="4"/>
        <v>99.157015889166814</v>
      </c>
      <c r="X42" s="3">
        <f t="shared" si="9"/>
        <v>343.72399568355814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4">
        <f>'Smith-Wilson'!E35</f>
        <v>2.5179999999999998</v>
      </c>
      <c r="F43" s="194">
        <f t="shared" si="10"/>
        <v>3.1069999999999851</v>
      </c>
      <c r="G43" s="138">
        <f t="shared" si="5"/>
        <v>0.45122795589785897</v>
      </c>
      <c r="H43" s="115">
        <f>PRODUCT($D$12:D43)</f>
        <v>0.85284713256814604</v>
      </c>
      <c r="I43" s="115">
        <f t="shared" si="14"/>
        <v>0.3848284683220749</v>
      </c>
      <c r="J43" s="139">
        <f>$C$6*SUM(I42:$I$50)/(G42*H42)</f>
        <v>747.23933579640675</v>
      </c>
      <c r="K43" s="140">
        <f t="shared" si="13"/>
        <v>1.3681941346060711E-2</v>
      </c>
      <c r="L43" s="115">
        <f t="shared" si="15"/>
        <v>6.1736744262973755E-3</v>
      </c>
      <c r="M43" s="141">
        <f t="shared" si="11"/>
        <v>6117.6461885425797</v>
      </c>
      <c r="N43" s="141">
        <f t="shared" si="6"/>
        <v>5370.4068527461732</v>
      </c>
      <c r="O43" s="144">
        <v>0</v>
      </c>
      <c r="P43" s="143">
        <v>0</v>
      </c>
      <c r="Q43" s="144">
        <f t="shared" si="1"/>
        <v>3.6951776315708402</v>
      </c>
      <c r="R43" s="144">
        <f t="shared" si="2"/>
        <v>10.740813705492346</v>
      </c>
      <c r="S43" s="144">
        <f t="shared" si="7"/>
        <v>100.90383339352285</v>
      </c>
      <c r="T43" s="144">
        <f t="shared" si="8"/>
        <v>169.54509676751698</v>
      </c>
      <c r="U43" s="145">
        <f t="shared" si="12"/>
        <v>256.01293882397658</v>
      </c>
      <c r="V43" s="143">
        <f t="shared" si="3"/>
        <v>218.33990077637262</v>
      </c>
      <c r="W43" s="143">
        <f t="shared" si="4"/>
        <v>98.521067118263971</v>
      </c>
      <c r="X43" s="3">
        <f t="shared" si="9"/>
        <v>357.60789246762619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4">
        <f>'Smith-Wilson'!E36</f>
        <v>2.5369999999999999</v>
      </c>
      <c r="F44" s="194">
        <f t="shared" si="10"/>
        <v>3.1450000000000102</v>
      </c>
      <c r="G44" s="138">
        <f t="shared" si="5"/>
        <v>0.43746163821212275</v>
      </c>
      <c r="H44" s="115">
        <f>PRODUCT($D$12:D44)</f>
        <v>0.83792936449023636</v>
      </c>
      <c r="I44" s="115">
        <f t="shared" si="14"/>
        <v>0.3665619524959417</v>
      </c>
      <c r="J44" s="139">
        <f>$C$6*SUM(I43:$I$50)/(G43*H43)</f>
        <v>677.11974718161093</v>
      </c>
      <c r="K44" s="140">
        <f t="shared" si="13"/>
        <v>1.4917768077909677E-2</v>
      </c>
      <c r="L44" s="115">
        <f t="shared" si="15"/>
        <v>6.5259512618308767E-3</v>
      </c>
      <c r="M44" s="141">
        <f t="shared" si="11"/>
        <v>6409.0229070387732</v>
      </c>
      <c r="N44" s="141">
        <f t="shared" si="6"/>
        <v>5731.9031598571619</v>
      </c>
      <c r="O44" s="144">
        <v>0</v>
      </c>
      <c r="P44" s="143">
        <v>0</v>
      </c>
      <c r="Q44" s="144">
        <f t="shared" si="1"/>
        <v>3.7690811842022578</v>
      </c>
      <c r="R44" s="144">
        <f t="shared" si="2"/>
        <v>11.463806319714324</v>
      </c>
      <c r="S44" s="144">
        <f t="shared" si="7"/>
        <v>100.90383339352285</v>
      </c>
      <c r="T44" s="144">
        <f t="shared" si="8"/>
        <v>182.96270562573648</v>
      </c>
      <c r="U44" s="145">
        <f t="shared" si="12"/>
        <v>268.63365151534276</v>
      </c>
      <c r="V44" s="143">
        <f t="shared" si="3"/>
        <v>225.09602489494279</v>
      </c>
      <c r="W44" s="143">
        <f t="shared" si="4"/>
        <v>98.47087580557843</v>
      </c>
      <c r="X44" s="3">
        <f t="shared" si="9"/>
        <v>374.40175365808949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4">
        <f>'Smith-Wilson'!E37</f>
        <v>2.556</v>
      </c>
      <c r="F45" s="194">
        <f t="shared" si="10"/>
        <v>3.1829999999999927</v>
      </c>
      <c r="G45" s="138">
        <f t="shared" si="5"/>
        <v>0.42395864437303077</v>
      </c>
      <c r="H45" s="115">
        <f>PRODUCT($D$12:D45)</f>
        <v>0.82182462496197961</v>
      </c>
      <c r="I45" s="115">
        <f t="shared" si="14"/>
        <v>0.34841965391125529</v>
      </c>
      <c r="J45" s="139">
        <f>$C$6*SUM(I44:$I$50)/(G44*H44)</f>
        <v>604.92990616185045</v>
      </c>
      <c r="K45" s="140">
        <f t="shared" si="13"/>
        <v>1.6104739528256751E-2</v>
      </c>
      <c r="L45" s="115">
        <f t="shared" si="15"/>
        <v>6.8277435383804954E-3</v>
      </c>
      <c r="M45" s="141">
        <f t="shared" si="11"/>
        <v>6728.3973471963891</v>
      </c>
      <c r="N45" s="141">
        <f t="shared" si="6"/>
        <v>6123.4674410345388</v>
      </c>
      <c r="O45" s="144">
        <v>0</v>
      </c>
      <c r="P45" s="143">
        <v>0</v>
      </c>
      <c r="Q45" s="144">
        <f t="shared" si="1"/>
        <v>3.8444628078863032</v>
      </c>
      <c r="R45" s="144">
        <f t="shared" si="2"/>
        <v>12.246934882069077</v>
      </c>
      <c r="S45" s="144">
        <f t="shared" si="7"/>
        <v>100.90383339352285</v>
      </c>
      <c r="T45" s="144">
        <f t="shared" si="8"/>
        <v>197.60954847657351</v>
      </c>
      <c r="U45" s="145">
        <f t="shared" si="12"/>
        <v>282.42198418014095</v>
      </c>
      <c r="V45" s="143">
        <f t="shared" si="3"/>
        <v>232.10134122986247</v>
      </c>
      <c r="W45" s="143">
        <f t="shared" si="4"/>
        <v>98.401369984974721</v>
      </c>
      <c r="X45" s="3">
        <f t="shared" si="9"/>
        <v>392.05207866405891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4">
        <f>'Smith-Wilson'!E38</f>
        <v>2.5750000000000002</v>
      </c>
      <c r="F46" s="194">
        <f t="shared" si="10"/>
        <v>3.2210000000000036</v>
      </c>
      <c r="G46" s="138">
        <f t="shared" si="5"/>
        <v>0.41072071052722531</v>
      </c>
      <c r="H46" s="115">
        <f>PRODUCT($D$12:D46)</f>
        <v>0.8049872230623708</v>
      </c>
      <c r="I46" s="115">
        <f t="shared" si="14"/>
        <v>0.33062492422151496</v>
      </c>
      <c r="J46" s="139">
        <f>$C$6*SUM(I45:$I$50)/(G45*H45)</f>
        <v>530.27083652944123</v>
      </c>
      <c r="K46" s="140">
        <f t="shared" si="13"/>
        <v>1.6837401899608806E-2</v>
      </c>
      <c r="L46" s="115">
        <f t="shared" si="15"/>
        <v>6.9154696716397816E-3</v>
      </c>
      <c r="M46" s="141">
        <f t="shared" si="11"/>
        <v>7078.7466811072145</v>
      </c>
      <c r="N46" s="141">
        <f t="shared" si="6"/>
        <v>6548.4758445777734</v>
      </c>
      <c r="O46" s="144">
        <v>0</v>
      </c>
      <c r="P46" s="143">
        <v>0</v>
      </c>
      <c r="Q46" s="144">
        <f t="shared" si="1"/>
        <v>3.9213520640440289</v>
      </c>
      <c r="R46" s="144">
        <f t="shared" si="2"/>
        <v>13.096951689155548</v>
      </c>
      <c r="S46" s="144">
        <f t="shared" si="7"/>
        <v>100.90383339352285</v>
      </c>
      <c r="T46" s="144">
        <f t="shared" si="8"/>
        <v>213.62835986356515</v>
      </c>
      <c r="U46" s="145">
        <f t="shared" si="12"/>
        <v>297.51388950388844</v>
      </c>
      <c r="V46" s="143">
        <f t="shared" si="3"/>
        <v>239.49487973422018</v>
      </c>
      <c r="W46" s="143">
        <f t="shared" si="4"/>
        <v>98.36550717207129</v>
      </c>
      <c r="X46" s="3">
        <f t="shared" si="9"/>
        <v>410.82645845932188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4">
        <f>'Smith-Wilson'!E39</f>
        <v>2.5939999999999999</v>
      </c>
      <c r="F47" s="194">
        <f t="shared" si="10"/>
        <v>3.2590000000000003</v>
      </c>
      <c r="G47" s="138">
        <f t="shared" si="5"/>
        <v>0.39774922579355743</v>
      </c>
      <c r="H47" s="115">
        <f>PRODUCT($D$12:D47)</f>
        <v>0.78745298475606429</v>
      </c>
      <c r="I47" s="115">
        <f t="shared" si="14"/>
        <v>0.31320881503555054</v>
      </c>
      <c r="J47" s="139">
        <f>$C$6*SUM(I46:$I$50)/(G46*H46)</f>
        <v>452.4761797247304</v>
      </c>
      <c r="K47" s="140">
        <f t="shared" si="13"/>
        <v>1.7534238306306515E-2</v>
      </c>
      <c r="L47" s="115">
        <f t="shared" si="15"/>
        <v>6.9742297112131545E-3</v>
      </c>
      <c r="M47" s="141">
        <f t="shared" si="11"/>
        <v>7459.7354526858953</v>
      </c>
      <c r="N47" s="141">
        <f t="shared" si="6"/>
        <v>7007.2592729611652</v>
      </c>
      <c r="O47" s="144">
        <v>0</v>
      </c>
      <c r="P47" s="143">
        <v>0</v>
      </c>
      <c r="Q47" s="144">
        <f t="shared" si="1"/>
        <v>3.9997791053249094</v>
      </c>
      <c r="R47" s="144">
        <f t="shared" si="2"/>
        <v>14.01451854592233</v>
      </c>
      <c r="S47" s="144">
        <f t="shared" si="7"/>
        <v>100.90383339352285</v>
      </c>
      <c r="T47" s="144">
        <f t="shared" si="8"/>
        <v>231.06794967564517</v>
      </c>
      <c r="U47" s="178">
        <f t="shared" si="12"/>
        <v>313.95748541792074</v>
      </c>
      <c r="V47" s="154">
        <f t="shared" si="3"/>
        <v>247.22675897885023</v>
      </c>
      <c r="W47" s="154">
        <f t="shared" si="4"/>
        <v>98.334251979288098</v>
      </c>
      <c r="X47" s="3">
        <f t="shared" si="9"/>
        <v>430.67901430192518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4">
        <f>'Smith-Wilson'!E40</f>
        <v>2.6120000000000001</v>
      </c>
      <c r="F48" s="194">
        <f t="shared" si="10"/>
        <v>3.2600000000000051</v>
      </c>
      <c r="G48" s="138">
        <f t="shared" si="5"/>
        <v>0.38518410583198032</v>
      </c>
      <c r="H48" s="115">
        <f>PRODUCT($D$12:D48)</f>
        <v>0.76906958583212903</v>
      </c>
      <c r="I48" s="115">
        <f>H48*G48</f>
        <v>0.29623338074132005</v>
      </c>
      <c r="J48" s="139">
        <f>$C$6*SUM(I47:$I$50)/(G47*H47)</f>
        <v>371.12167596860945</v>
      </c>
      <c r="K48" s="140">
        <f>H47-H48</f>
        <v>1.8383398923935257E-2</v>
      </c>
      <c r="L48" s="115">
        <f>K48*G48</f>
        <v>7.0809930766685915E-3</v>
      </c>
      <c r="M48" s="141">
        <f t="shared" si="11"/>
        <v>7874.5372108281144</v>
      </c>
      <c r="N48" s="141">
        <f>M48-J48</f>
        <v>7503.415534859505</v>
      </c>
      <c r="O48" s="144">
        <v>0</v>
      </c>
      <c r="P48" s="143">
        <v>0</v>
      </c>
      <c r="Q48" s="144">
        <f t="shared" si="1"/>
        <v>4.0797746874314074</v>
      </c>
      <c r="R48" s="144">
        <f t="shared" si="2"/>
        <v>15.006831069719011</v>
      </c>
      <c r="S48" s="144">
        <f t="shared" si="7"/>
        <v>100.90383339352285</v>
      </c>
      <c r="T48" s="144">
        <f t="shared" si="8"/>
        <v>247.27858805736602</v>
      </c>
      <c r="U48" s="178">
        <f t="shared" si="12"/>
        <v>329.09581569373847</v>
      </c>
      <c r="V48" s="154">
        <f t="shared" si="3"/>
        <v>253.09758267467012</v>
      </c>
      <c r="W48" s="154">
        <f t="shared" si="4"/>
        <v>97.489166070778523</v>
      </c>
      <c r="X48" s="3">
        <f t="shared" si="9"/>
        <v>447.75690733322199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4">
        <f>'Smith-Wilson'!E41</f>
        <v>2.63</v>
      </c>
      <c r="F49" s="194">
        <f>B49*E49-B48*E48</f>
        <v>3.2959999999999923</v>
      </c>
      <c r="G49" s="138">
        <f t="shared" si="5"/>
        <v>0.37288550504536244</v>
      </c>
      <c r="H49" s="115">
        <f>PRODUCT($D$12:D49)</f>
        <v>0.74962933870011328</v>
      </c>
      <c r="I49" s="115">
        <f t="shared" ref="I49:I51" si="16">H49*G49</f>
        <v>0.27952591455801279</v>
      </c>
      <c r="J49" s="139">
        <f>$C$6*SUM(I48:$I$50)/(G48*H48)</f>
        <v>285.70247573925951</v>
      </c>
      <c r="K49" s="140">
        <f t="shared" ref="K49:K51" si="17">H48-H49</f>
        <v>1.9440247132015753E-2</v>
      </c>
      <c r="L49" s="115">
        <f>K49*G49</f>
        <v>7.2489863700283532E-3</v>
      </c>
      <c r="M49" s="141">
        <f t="shared" si="11"/>
        <v>8325.7817285302353</v>
      </c>
      <c r="N49" s="141">
        <f t="shared" ref="N49:N52" si="18">M49-J49</f>
        <v>8040.0792527909762</v>
      </c>
      <c r="O49" s="144">
        <v>0</v>
      </c>
      <c r="P49" s="143">
        <v>0</v>
      </c>
      <c r="Q49" s="144">
        <f t="shared" si="1"/>
        <v>4.1613701811800361</v>
      </c>
      <c r="R49" s="144">
        <f t="shared" si="2"/>
        <v>16.080158505581952</v>
      </c>
      <c r="S49" s="144">
        <f t="shared" si="7"/>
        <v>100.90383339352285</v>
      </c>
      <c r="T49" s="144">
        <f t="shared" si="8"/>
        <v>267.65964173512475</v>
      </c>
      <c r="U49" s="178">
        <f t="shared" si="12"/>
        <v>348.32194644188564</v>
      </c>
      <c r="V49" s="154">
        <f t="shared" si="3"/>
        <v>261.11235036596702</v>
      </c>
      <c r="W49" s="154">
        <f t="shared" si="4"/>
        <v>97.365010639795244</v>
      </c>
      <c r="X49" s="3">
        <f t="shared" si="9"/>
        <v>469.11332929865955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4">
        <f>'Smith-Wilson'!E42</f>
        <v>2.6469999999999998</v>
      </c>
      <c r="F50" s="194">
        <f t="shared" si="10"/>
        <v>3.2929999999999922</v>
      </c>
      <c r="G50" s="138">
        <f t="shared" si="5"/>
        <v>0.36099053872165482</v>
      </c>
      <c r="H50" s="171">
        <f>PRODUCT($D$12:D50)</f>
        <v>0.72856693040883636</v>
      </c>
      <c r="I50" s="115">
        <f t="shared" si="16"/>
        <v>0.26300576870306824</v>
      </c>
      <c r="J50" s="139">
        <f>$C$6*SUM(I49:$I$50)/(G49*H49)</f>
        <v>195.84419092249195</v>
      </c>
      <c r="K50" s="140">
        <f t="shared" si="17"/>
        <v>2.1062408291276924E-2</v>
      </c>
      <c r="L50" s="115">
        <f>K50*G50</f>
        <v>7.603330115843506E-3</v>
      </c>
      <c r="M50" s="141">
        <f t="shared" si="11"/>
        <v>8823.419727135717</v>
      </c>
      <c r="N50" s="141">
        <f t="shared" si="18"/>
        <v>8627.5755362132259</v>
      </c>
      <c r="O50" s="144">
        <v>0</v>
      </c>
      <c r="P50" s="143">
        <v>0</v>
      </c>
      <c r="Q50" s="144">
        <f t="shared" si="1"/>
        <v>4.2445975848036372</v>
      </c>
      <c r="R50" s="144">
        <f t="shared" si="2"/>
        <v>17.255151072426454</v>
      </c>
      <c r="S50" s="144">
        <f t="shared" si="7"/>
        <v>100.90383339352285</v>
      </c>
      <c r="T50" s="144">
        <f t="shared" si="8"/>
        <v>286.72083891786696</v>
      </c>
      <c r="U50" s="178">
        <f t="shared" si="12"/>
        <v>366.12492365415977</v>
      </c>
      <c r="V50" s="154">
        <f t="shared" si="3"/>
        <v>266.74651177288075</v>
      </c>
      <c r="W50" s="154">
        <f t="shared" si="4"/>
        <v>96.292966987014466</v>
      </c>
      <c r="X50" s="3">
        <f t="shared" si="9"/>
        <v>486.68187217335048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4">
        <f>'Smith-Wilson'!E43</f>
        <v>2.6640000000000001</v>
      </c>
      <c r="F51" s="194">
        <f t="shared" si="10"/>
        <v>3.3270000000000124</v>
      </c>
      <c r="G51" s="138">
        <f t="shared" si="5"/>
        <v>0.34935965470745112</v>
      </c>
      <c r="H51" s="171">
        <f>PRODUCT($D$12:D51)</f>
        <v>0.70597003275095693</v>
      </c>
      <c r="I51" s="115">
        <f t="shared" si="16"/>
        <v>0.24663744687568226</v>
      </c>
      <c r="J51" s="139">
        <f>$C$6*SUM(I50:$I$50)/(G50*H50)</f>
        <v>100.90383339352285</v>
      </c>
      <c r="K51" s="140">
        <f t="shared" si="17"/>
        <v>2.2596897657879422E-2</v>
      </c>
      <c r="L51" s="115">
        <f t="shared" ref="L51" si="19">K51*G51</f>
        <v>7.8944443632163654E-3</v>
      </c>
      <c r="M51" s="141">
        <f t="shared" si="11"/>
        <v>9377.6439996696154</v>
      </c>
      <c r="N51" s="141">
        <f t="shared" si="18"/>
        <v>9276.7401662760931</v>
      </c>
      <c r="O51" s="144">
        <v>0</v>
      </c>
      <c r="P51" s="154">
        <f>H51*$C$3</f>
        <v>7059.7003275095694</v>
      </c>
      <c r="Q51" s="144">
        <f t="shared" si="1"/>
        <v>4.3294895364997084</v>
      </c>
      <c r="R51" s="144">
        <f>$C$7*N51</f>
        <v>18.553480332552187</v>
      </c>
      <c r="S51" s="144">
        <f t="shared" si="7"/>
        <v>100.90383339352285</v>
      </c>
      <c r="T51" s="144">
        <f t="shared" si="8"/>
        <v>76.356669565221651</v>
      </c>
      <c r="U51" s="178">
        <f t="shared" si="12"/>
        <v>-6905.322794419877</v>
      </c>
      <c r="V51" s="154">
        <f t="shared" si="3"/>
        <v>-4874.9509593325301</v>
      </c>
      <c r="W51" s="154">
        <f t="shared" si="4"/>
        <v>-1703.1111838681702</v>
      </c>
      <c r="X51" s="3">
        <f>V51*(1+$X$6)^(-B51)</f>
        <v>-9032.5990859004305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f t="shared" si="11"/>
        <v>10000</v>
      </c>
      <c r="N52" s="141">
        <f t="shared" si="18"/>
        <v>10000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9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200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200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K611"/>
  <sheetViews>
    <sheetView workbookViewId="0">
      <pane xSplit="3" ySplit="11" topLeftCell="P35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ColWidth="8.85546875" defaultRowHeight="15" x14ac:dyDescent="0.25"/>
  <cols>
    <col min="1" max="1" width="42.5703125" customWidth="1"/>
    <col min="2" max="2" width="8.7109375" customWidth="1"/>
    <col min="3" max="3" width="18.5703125" customWidth="1"/>
    <col min="4" max="4" width="12.7109375" customWidth="1"/>
    <col min="5" max="5" width="10.5703125" customWidth="1"/>
    <col min="6" max="6" width="12.7109375" style="146" customWidth="1"/>
    <col min="7" max="7" width="17.140625" customWidth="1"/>
    <col min="8" max="8" width="12.42578125" customWidth="1"/>
    <col min="9" max="9" width="21.42578125" customWidth="1"/>
    <col min="10" max="10" width="22.85546875" customWidth="1"/>
    <col min="11" max="11" width="17.28515625" customWidth="1"/>
    <col min="12" max="12" width="25.28515625" customWidth="1"/>
    <col min="13" max="14" width="21.28515625" customWidth="1"/>
    <col min="15" max="15" width="12.7109375" style="16" customWidth="1"/>
    <col min="16" max="16" width="25.140625" style="16" customWidth="1"/>
    <col min="17" max="17" width="28.85546875" style="16" customWidth="1"/>
    <col min="18" max="18" width="26.85546875" style="16" customWidth="1"/>
    <col min="19" max="19" width="17.42578125" style="16" customWidth="1"/>
    <col min="20" max="20" width="9.7109375" style="16" customWidth="1"/>
    <col min="21" max="21" width="9.42578125" style="16" customWidth="1"/>
    <col min="22" max="22" width="10.28515625" style="16" customWidth="1"/>
    <col min="23" max="23" width="12" style="87" customWidth="1"/>
    <col min="24" max="24" width="15.28515625" customWidth="1"/>
    <col min="25" max="25" width="11.28515625" customWidth="1"/>
    <col min="26" max="26" width="16" bestFit="1" customWidth="1"/>
    <col min="27" max="27" width="19.5703125" customWidth="1"/>
    <col min="28" max="29" width="10.42578125" bestFit="1" customWidth="1"/>
    <col min="30" max="30" width="11" customWidth="1"/>
    <col min="31" max="31" width="12.7109375" customWidth="1"/>
    <col min="32" max="32" width="20.7109375" customWidth="1"/>
    <col min="33" max="33" width="27.42578125" customWidth="1"/>
    <col min="35" max="35" width="13.7109375" customWidth="1"/>
    <col min="36" max="36" width="16.85546875" customWidth="1"/>
    <col min="37" max="37" width="12.28515625" customWidth="1"/>
  </cols>
  <sheetData>
    <row r="1" spans="1:37" ht="25.5" customHeight="1" x14ac:dyDescent="0.25">
      <c r="A1" s="86" t="s">
        <v>58</v>
      </c>
      <c r="B1" s="162"/>
      <c r="C1" s="162" t="s">
        <v>92</v>
      </c>
      <c r="D1" s="162"/>
    </row>
    <row r="2" spans="1:37" ht="36.75" customHeight="1" thickBot="1" x14ac:dyDescent="0.3">
      <c r="A2" s="163" t="s">
        <v>62</v>
      </c>
      <c r="B2" s="86"/>
      <c r="C2" s="88">
        <f>'All bonds'!P4</f>
        <v>2444.1043361863517</v>
      </c>
      <c r="D2" s="89"/>
      <c r="E2" s="90"/>
      <c r="F2" s="174"/>
      <c r="G2" s="90"/>
      <c r="H2" s="90"/>
      <c r="I2" s="90"/>
      <c r="J2" s="90"/>
      <c r="K2" s="90"/>
      <c r="L2" s="90"/>
      <c r="M2" s="5"/>
      <c r="N2" s="5"/>
      <c r="O2" s="91"/>
      <c r="P2" s="5"/>
      <c r="Q2" s="5"/>
      <c r="R2" s="5"/>
      <c r="S2" s="5"/>
      <c r="T2" s="5"/>
      <c r="U2" s="5"/>
      <c r="V2" s="91"/>
      <c r="W2" s="92"/>
      <c r="X2" s="91"/>
      <c r="Y2" s="5"/>
      <c r="Z2" s="5"/>
      <c r="AA2" s="5"/>
      <c r="AB2" s="5"/>
      <c r="AC2" s="5"/>
      <c r="AD2" s="5"/>
      <c r="AE2" s="5"/>
      <c r="AF2" s="5"/>
      <c r="AG2" s="93"/>
      <c r="AJ2" s="94"/>
      <c r="AK2" s="64"/>
    </row>
    <row r="3" spans="1:37" ht="42" customHeight="1" x14ac:dyDescent="0.25">
      <c r="A3" s="164" t="s">
        <v>63</v>
      </c>
      <c r="B3" s="95"/>
      <c r="C3" s="96">
        <v>10000</v>
      </c>
      <c r="D3" s="89"/>
      <c r="E3" s="90"/>
      <c r="F3" s="174"/>
      <c r="G3" s="90"/>
      <c r="H3" s="90"/>
      <c r="I3" s="90"/>
      <c r="J3" s="90"/>
      <c r="K3" s="90"/>
      <c r="L3" s="90"/>
      <c r="M3" s="179"/>
      <c r="N3" s="180"/>
      <c r="O3" s="179"/>
      <c r="P3" s="179"/>
      <c r="Q3" s="179"/>
      <c r="R3" s="91"/>
      <c r="S3" s="181"/>
      <c r="T3" s="179"/>
      <c r="U3" s="91"/>
      <c r="V3" s="91"/>
      <c r="W3" s="92" t="s">
        <v>37</v>
      </c>
      <c r="X3" s="98">
        <f>W11/C2</f>
        <v>0.73195912840873134</v>
      </c>
      <c r="Y3" s="5"/>
      <c r="Z3" s="5"/>
      <c r="AA3" s="5"/>
      <c r="AB3" s="5"/>
      <c r="AC3" s="5"/>
      <c r="AD3" s="5"/>
      <c r="AE3" s="5"/>
      <c r="AF3" s="5"/>
      <c r="AG3" s="93"/>
      <c r="AJ3" s="94"/>
      <c r="AK3" s="64"/>
    </row>
    <row r="4" spans="1:37" ht="22.15" customHeight="1" x14ac:dyDescent="0.25">
      <c r="A4" s="166" t="s">
        <v>114</v>
      </c>
      <c r="B4" s="99"/>
      <c r="C4" s="100">
        <v>200</v>
      </c>
      <c r="D4" s="101"/>
      <c r="E4" s="101"/>
      <c r="F4" s="175"/>
      <c r="G4" s="101"/>
      <c r="H4" s="51"/>
      <c r="I4" s="51"/>
      <c r="J4" s="51"/>
      <c r="K4" s="51"/>
      <c r="L4" s="51"/>
      <c r="M4" s="97"/>
      <c r="N4" s="97"/>
      <c r="O4" s="97"/>
      <c r="P4" s="97"/>
      <c r="Q4" s="97"/>
      <c r="R4" s="97"/>
      <c r="S4" s="97"/>
      <c r="T4" s="97"/>
      <c r="U4" s="91"/>
      <c r="V4" s="102"/>
      <c r="W4" s="92"/>
      <c r="X4" s="103"/>
      <c r="Y4" s="5"/>
      <c r="Z4" s="5"/>
      <c r="AA4" s="5"/>
      <c r="AB4" s="5"/>
      <c r="AC4" s="104"/>
      <c r="AD4" s="104"/>
      <c r="AE4" s="104"/>
      <c r="AF4" s="104"/>
      <c r="AG4" s="105"/>
      <c r="AJ4" s="94"/>
      <c r="AK4" s="64"/>
    </row>
    <row r="5" spans="1:37" s="104" customFormat="1" ht="21" customHeight="1" x14ac:dyDescent="0.25">
      <c r="A5" s="167" t="s">
        <v>61</v>
      </c>
      <c r="B5" s="106"/>
      <c r="C5" s="107">
        <v>0.02</v>
      </c>
      <c r="D5" s="108" t="s">
        <v>39</v>
      </c>
      <c r="E5" s="90"/>
      <c r="F5" s="174"/>
      <c r="G5" s="90"/>
      <c r="H5" s="51"/>
      <c r="I5" s="51"/>
      <c r="J5" s="51"/>
      <c r="K5" s="51"/>
      <c r="L5" s="51"/>
      <c r="M5" s="90"/>
      <c r="N5" s="90"/>
      <c r="O5" s="91"/>
      <c r="P5" s="91"/>
      <c r="Q5" s="101"/>
      <c r="R5" s="101"/>
      <c r="S5" s="101"/>
      <c r="T5" s="101"/>
      <c r="U5" s="91"/>
      <c r="V5" s="91"/>
      <c r="W5" s="109" t="s">
        <v>83</v>
      </c>
      <c r="X5" s="98">
        <f>IRR(V12:V51)</f>
        <v>1.0566461598134955</v>
      </c>
      <c r="Y5" s="5"/>
      <c r="Z5" s="5"/>
      <c r="AA5" s="5"/>
      <c r="AB5" s="5"/>
      <c r="AG5" s="110"/>
      <c r="AJ5" s="111"/>
      <c r="AK5" s="112"/>
    </row>
    <row r="6" spans="1:37" s="104" customFormat="1" ht="33.75" customHeight="1" x14ac:dyDescent="0.25">
      <c r="A6" s="165" t="s">
        <v>93</v>
      </c>
      <c r="B6" s="113"/>
      <c r="C6" s="114">
        <f>'All bonds'!Q4</f>
        <v>102.41747292938365</v>
      </c>
      <c r="D6" s="108"/>
      <c r="E6" s="90"/>
      <c r="F6" s="174"/>
      <c r="G6" s="90"/>
      <c r="H6" s="51"/>
      <c r="I6" s="115"/>
      <c r="J6" s="51"/>
      <c r="K6" s="51"/>
      <c r="L6" s="51"/>
      <c r="M6" s="90"/>
      <c r="N6" s="90"/>
      <c r="O6" s="246" t="s">
        <v>40</v>
      </c>
      <c r="P6" s="246"/>
      <c r="Q6" s="246"/>
      <c r="R6" s="201"/>
      <c r="S6" s="247" t="s">
        <v>41</v>
      </c>
      <c r="T6" s="247"/>
      <c r="U6" s="91"/>
      <c r="V6" s="91"/>
      <c r="W6" s="109" t="s">
        <v>83</v>
      </c>
      <c r="X6" s="98">
        <f>-0.0144</f>
        <v>-1.44E-2</v>
      </c>
      <c r="Y6" s="5"/>
      <c r="Z6" s="5"/>
      <c r="AA6" s="5"/>
      <c r="AB6" s="5"/>
      <c r="AG6" s="110"/>
      <c r="AJ6" s="111"/>
      <c r="AK6" s="112"/>
    </row>
    <row r="7" spans="1:37" s="104" customFormat="1" ht="25.5" customHeight="1" x14ac:dyDescent="0.25">
      <c r="A7" s="168" t="s">
        <v>42</v>
      </c>
      <c r="B7" s="117"/>
      <c r="C7" s="118">
        <v>2E-3</v>
      </c>
      <c r="D7" s="108" t="s">
        <v>39</v>
      </c>
      <c r="E7" s="90"/>
      <c r="F7" s="174"/>
      <c r="G7" s="90"/>
      <c r="H7" s="51"/>
      <c r="I7" s="51"/>
      <c r="J7" s="51"/>
      <c r="K7" s="51"/>
      <c r="L7" s="51"/>
      <c r="M7" s="90"/>
      <c r="N7" s="90"/>
      <c r="O7" s="91"/>
      <c r="P7" s="91"/>
      <c r="Q7" s="91"/>
      <c r="R7" s="91"/>
      <c r="S7" s="91"/>
      <c r="T7" s="91"/>
      <c r="U7" s="91"/>
      <c r="V7" s="91"/>
      <c r="W7" s="109"/>
      <c r="X7" s="98"/>
      <c r="Y7" s="5"/>
      <c r="Z7" s="5"/>
      <c r="AA7" s="5"/>
      <c r="AB7" s="5"/>
      <c r="AG7" s="110"/>
      <c r="AJ7" s="111"/>
      <c r="AK7" s="112"/>
    </row>
    <row r="8" spans="1:37" s="104" customFormat="1" ht="22.15" customHeight="1" x14ac:dyDescent="0.35">
      <c r="A8" s="169" t="s">
        <v>77</v>
      </c>
      <c r="B8" s="119"/>
      <c r="C8" s="120">
        <v>2</v>
      </c>
      <c r="D8" s="108"/>
      <c r="E8" s="121"/>
      <c r="F8" s="122" t="s">
        <v>43</v>
      </c>
      <c r="G8" s="121" t="s">
        <v>64</v>
      </c>
      <c r="H8" s="51" t="s">
        <v>68</v>
      </c>
      <c r="I8" s="121"/>
      <c r="J8" s="101" t="s">
        <v>44</v>
      </c>
      <c r="K8" s="121" t="s">
        <v>45</v>
      </c>
      <c r="L8" s="121" t="s">
        <v>45</v>
      </c>
      <c r="M8" s="90" t="s">
        <v>46</v>
      </c>
      <c r="N8" s="90"/>
      <c r="O8" s="121" t="s">
        <v>71</v>
      </c>
      <c r="P8" s="101" t="s">
        <v>47</v>
      </c>
      <c r="Q8" s="121"/>
      <c r="R8" s="121"/>
      <c r="S8" s="121" t="s">
        <v>72</v>
      </c>
      <c r="T8" s="121" t="s">
        <v>74</v>
      </c>
      <c r="U8" s="121" t="s">
        <v>48</v>
      </c>
      <c r="V8" s="121" t="s">
        <v>49</v>
      </c>
      <c r="W8" s="109"/>
      <c r="X8" s="98"/>
      <c r="Y8" s="5"/>
      <c r="Z8" s="5"/>
      <c r="AA8" s="5"/>
      <c r="AB8" s="5"/>
      <c r="AG8" s="110"/>
      <c r="AJ8" s="111"/>
      <c r="AK8" s="112"/>
    </row>
    <row r="9" spans="1:37" s="104" customFormat="1" ht="22.15" customHeight="1" x14ac:dyDescent="0.35">
      <c r="A9" s="121" t="s">
        <v>65</v>
      </c>
      <c r="B9" s="121"/>
      <c r="C9" s="172">
        <v>0.5</v>
      </c>
      <c r="D9" s="108"/>
      <c r="E9" s="121" t="s">
        <v>78</v>
      </c>
      <c r="F9" s="122"/>
      <c r="G9" s="121"/>
      <c r="H9" s="182" t="s">
        <v>69</v>
      </c>
      <c r="I9" s="121" t="s">
        <v>70</v>
      </c>
      <c r="J9" s="101" t="s">
        <v>81</v>
      </c>
      <c r="K9" s="121"/>
      <c r="L9" s="121"/>
      <c r="M9" s="90" t="s">
        <v>75</v>
      </c>
      <c r="N9" s="90" t="s">
        <v>76</v>
      </c>
      <c r="O9" s="91"/>
      <c r="P9" s="91"/>
      <c r="Q9" s="121" t="s">
        <v>50</v>
      </c>
      <c r="R9" s="121" t="s">
        <v>51</v>
      </c>
      <c r="S9" s="121"/>
      <c r="T9" s="121" t="s">
        <v>73</v>
      </c>
      <c r="U9" s="121" t="s">
        <v>52</v>
      </c>
      <c r="V9" s="121" t="s">
        <v>53</v>
      </c>
      <c r="W9" s="122" t="s">
        <v>54</v>
      </c>
      <c r="X9" s="98"/>
      <c r="Y9" s="5"/>
      <c r="Z9" s="8"/>
      <c r="AA9" s="5"/>
      <c r="AB9" s="5"/>
      <c r="AG9" s="110"/>
      <c r="AJ9" s="111"/>
      <c r="AK9" s="112"/>
    </row>
    <row r="10" spans="1:37" s="104" customFormat="1" ht="22.15" customHeight="1" x14ac:dyDescent="0.25">
      <c r="A10" s="121">
        <v>1</v>
      </c>
      <c r="B10" s="121">
        <v>2</v>
      </c>
      <c r="C10" s="185">
        <v>3</v>
      </c>
      <c r="D10" s="108">
        <v>4</v>
      </c>
      <c r="E10" s="121" t="s">
        <v>89</v>
      </c>
      <c r="F10" s="122" t="s">
        <v>90</v>
      </c>
      <c r="G10" s="121" t="s">
        <v>91</v>
      </c>
      <c r="H10" s="182">
        <v>6</v>
      </c>
      <c r="I10" s="121">
        <v>7</v>
      </c>
      <c r="J10" s="101">
        <v>10</v>
      </c>
      <c r="K10" s="121"/>
      <c r="L10" s="121">
        <v>8</v>
      </c>
      <c r="M10" s="90">
        <v>9</v>
      </c>
      <c r="N10" s="187">
        <v>13</v>
      </c>
      <c r="O10" s="188">
        <v>14</v>
      </c>
      <c r="P10" s="188">
        <v>15</v>
      </c>
      <c r="Q10" s="189">
        <v>16</v>
      </c>
      <c r="R10" s="189">
        <v>17</v>
      </c>
      <c r="S10" s="189">
        <v>18</v>
      </c>
      <c r="T10" s="189">
        <v>19</v>
      </c>
      <c r="U10" s="189">
        <v>20</v>
      </c>
      <c r="V10" s="189">
        <v>21</v>
      </c>
      <c r="W10" s="190">
        <v>22</v>
      </c>
      <c r="X10" s="98" t="s">
        <v>84</v>
      </c>
      <c r="Y10" s="5"/>
      <c r="Z10" s="8"/>
      <c r="AA10" s="5"/>
      <c r="AB10" s="5"/>
      <c r="AG10" s="110"/>
      <c r="AJ10" s="111"/>
      <c r="AK10" s="112"/>
    </row>
    <row r="11" spans="1:37" ht="34.5" customHeight="1" x14ac:dyDescent="0.35">
      <c r="A11" s="123"/>
      <c r="B11" s="124" t="s">
        <v>2</v>
      </c>
      <c r="C11" s="123"/>
      <c r="D11" s="123"/>
      <c r="E11" s="125"/>
      <c r="F11" s="176"/>
      <c r="G11" s="125" t="s">
        <v>66</v>
      </c>
      <c r="H11" s="124" t="s">
        <v>67</v>
      </c>
      <c r="I11" s="126"/>
      <c r="J11" s="124" t="s">
        <v>82</v>
      </c>
      <c r="K11" s="126"/>
      <c r="L11" s="126"/>
      <c r="M11" s="127" t="s">
        <v>80</v>
      </c>
      <c r="N11" s="127" t="s">
        <v>79</v>
      </c>
      <c r="O11" s="128" t="s">
        <v>38</v>
      </c>
      <c r="P11" s="129"/>
      <c r="Q11" s="123"/>
      <c r="R11" s="123"/>
      <c r="S11" s="125"/>
      <c r="T11" s="130" t="s">
        <v>55</v>
      </c>
      <c r="U11" s="125" t="s">
        <v>56</v>
      </c>
      <c r="V11" s="125" t="s">
        <v>57</v>
      </c>
      <c r="W11" s="131">
        <f>SUM(W12:W51)</f>
        <v>1788.9844796549628</v>
      </c>
      <c r="X11" s="132">
        <f>SUM(X12:X51)</f>
        <v>-1.673778259437313</v>
      </c>
      <c r="Y11" s="193">
        <f>NPV(X5,V12:V51)</f>
        <v>7.1365526799893963E-11</v>
      </c>
      <c r="Z11" s="133"/>
      <c r="AA11" s="64"/>
      <c r="AB11" s="112"/>
      <c r="AC11" s="112"/>
      <c r="AD11" s="112"/>
      <c r="AE11" s="134"/>
      <c r="AF11" s="135"/>
      <c r="AG11" s="135"/>
      <c r="AI11" s="64"/>
      <c r="AJ11" s="64"/>
      <c r="AK11" s="136"/>
    </row>
    <row r="12" spans="1:37" x14ac:dyDescent="0.25">
      <c r="A12">
        <v>30</v>
      </c>
      <c r="B12">
        <v>1</v>
      </c>
      <c r="C12" s="186">
        <f>TUM!C4</f>
        <v>8.279802028143497E-4</v>
      </c>
      <c r="D12">
        <f t="shared" ref="D12:D51" si="0">1-C12</f>
        <v>0.99917201979718562</v>
      </c>
      <c r="E12" s="195">
        <f>'All bonds'!E5</f>
        <v>0.9860305346828504</v>
      </c>
      <c r="F12" s="195">
        <f>E12</f>
        <v>0.9860305346828504</v>
      </c>
      <c r="G12" s="138">
        <f>EXP(-(E12/100)*B12)</f>
        <v>0.99018814807797728</v>
      </c>
      <c r="H12" s="115">
        <f>PRODUCT($D$12:D12)</f>
        <v>0.99917201979718562</v>
      </c>
      <c r="I12" s="115">
        <f>H12*G12</f>
        <v>0.98936829189430731</v>
      </c>
      <c r="J12" s="139">
        <v>0</v>
      </c>
      <c r="K12" s="115">
        <f>C12</f>
        <v>8.279802028143497E-4</v>
      </c>
      <c r="L12" s="115">
        <f>K12*G12</f>
        <v>8.1985618366996898E-4</v>
      </c>
      <c r="M12" s="141">
        <v>0</v>
      </c>
      <c r="N12" s="141">
        <f>M12-J12</f>
        <v>0</v>
      </c>
      <c r="O12" s="142">
        <f>C4</f>
        <v>200</v>
      </c>
      <c r="P12" s="143">
        <v>0</v>
      </c>
      <c r="Q12" s="144">
        <f t="shared" ref="Q12:Q51" si="1">$C$8*(1+$C$5)^(B12-1)</f>
        <v>2</v>
      </c>
      <c r="R12" s="144">
        <f t="shared" ref="R12:R50" si="2">$C$7*N12</f>
        <v>0</v>
      </c>
      <c r="S12" s="144">
        <f>$C$6</f>
        <v>102.41747292938365</v>
      </c>
      <c r="T12" s="144">
        <f>F12/100*(N12+S12-O12-Q12-P12-R12)</f>
        <v>-0.9819141241250926</v>
      </c>
      <c r="U12" s="145">
        <f>S12+T12-O12-Q12-R12-P12</f>
        <v>-100.56444119474145</v>
      </c>
      <c r="V12" s="143">
        <f t="shared" ref="V12:V51" si="3">U12*H12</f>
        <v>-100.48117582832511</v>
      </c>
      <c r="W12" s="143">
        <f t="shared" ref="W12:W51" si="4">V12*G12</f>
        <v>-99.495269410146847</v>
      </c>
      <c r="X12" s="3">
        <f>V12*(1+$X$6)^(-B12)</f>
        <v>-101.94924495568699</v>
      </c>
      <c r="Y12" s="146"/>
      <c r="Z12" s="147"/>
      <c r="AB12" s="148"/>
      <c r="AC12" s="148"/>
      <c r="AH12" s="94"/>
    </row>
    <row r="13" spans="1:37" x14ac:dyDescent="0.25">
      <c r="A13">
        <v>31</v>
      </c>
      <c r="B13">
        <v>2</v>
      </c>
      <c r="C13" s="137">
        <f>TUM!C5</f>
        <v>9.3958852840120614E-4</v>
      </c>
      <c r="D13">
        <f t="shared" si="0"/>
        <v>0.99906041147159874</v>
      </c>
      <c r="E13" s="195">
        <f>'All bonds'!E6</f>
        <v>1.4446111684116043</v>
      </c>
      <c r="F13" s="195">
        <f>B13*E13-B12*E12</f>
        <v>1.9031918021403582</v>
      </c>
      <c r="G13" s="138">
        <f t="shared" ref="G13:G51" si="5">EXP(-(E13/100)*B13)</f>
        <v>0.97152116610328243</v>
      </c>
      <c r="H13" s="115">
        <f>PRODUCT($D$12:D13)</f>
        <v>0.99823320922948466</v>
      </c>
      <c r="I13" s="115">
        <f>H13*G13</f>
        <v>0.96980469147365089</v>
      </c>
      <c r="J13" s="139">
        <f>$C$6*SUM(I12:$I$50)/(G12*H12)</f>
        <v>2366.8505271918771</v>
      </c>
      <c r="K13" s="140">
        <f>H12-H13</f>
        <v>9.3881056770095395E-4</v>
      </c>
      <c r="L13" s="115">
        <f>K13*G13</f>
        <v>9.1207433748291533E-4</v>
      </c>
      <c r="M13" s="141">
        <f>$C$3*$I$51/(G12*H12)</f>
        <v>2470.3685737762166</v>
      </c>
      <c r="N13" s="141">
        <f t="shared" ref="N13:N47" si="6">M13-J13</f>
        <v>103.51804658433957</v>
      </c>
      <c r="O13" s="144">
        <v>0</v>
      </c>
      <c r="P13" s="143">
        <v>0</v>
      </c>
      <c r="Q13" s="144">
        <f t="shared" si="1"/>
        <v>2.04</v>
      </c>
      <c r="R13" s="144">
        <f t="shared" si="2"/>
        <v>0.20703609316867916</v>
      </c>
      <c r="S13" s="144">
        <f t="shared" ref="S13:S51" si="7">$C$6</f>
        <v>102.41747292938365</v>
      </c>
      <c r="T13" s="144">
        <f t="shared" ref="T13:T51" si="8">F13/100*(N13+S13-O13-Q13-P13-R13)</f>
        <v>3.876582518364017</v>
      </c>
      <c r="U13" s="145">
        <f>S13+T13-O13-Q13-R13-P13</f>
        <v>104.04701935457898</v>
      </c>
      <c r="V13" s="143">
        <f t="shared" si="3"/>
        <v>103.86319004108368</v>
      </c>
      <c r="W13" s="143">
        <f t="shared" si="4"/>
        <v>100.90528750392045</v>
      </c>
      <c r="X13" s="3">
        <f t="shared" ref="X13:X52" si="9">V13*(1+$X$6)^(-B13)</f>
        <v>106.92032438490446</v>
      </c>
      <c r="Z13" s="149"/>
      <c r="AB13" s="148"/>
      <c r="AC13" s="148"/>
    </row>
    <row r="14" spans="1:37" x14ac:dyDescent="0.25">
      <c r="A14">
        <v>32</v>
      </c>
      <c r="B14">
        <v>3</v>
      </c>
      <c r="C14" s="137">
        <f>TUM!C6</f>
        <v>1.0319366344008537E-3</v>
      </c>
      <c r="D14">
        <f t="shared" si="0"/>
        <v>0.99896806336559918</v>
      </c>
      <c r="E14" s="195">
        <f>'All bonds'!E7</f>
        <v>1.6273040610071074</v>
      </c>
      <c r="F14" s="195">
        <f t="shared" ref="F14:F51" si="10">B14*E14-B13*E13</f>
        <v>1.9926898461981137</v>
      </c>
      <c r="G14" s="138">
        <f t="shared" si="5"/>
        <v>0.95235337405570264</v>
      </c>
      <c r="H14" s="115">
        <f>PRODUCT($D$12:D14)</f>
        <v>0.99720309581120525</v>
      </c>
      <c r="I14" s="115">
        <f>H14*G14</f>
        <v>0.94968973291459347</v>
      </c>
      <c r="J14" s="139">
        <f>$C$6*SUM(I13:$I$50)/(G13*H13)</f>
        <v>2310.1128327193301</v>
      </c>
      <c r="K14" s="140">
        <f>H13-H14</f>
        <v>1.0301134182794103E-3</v>
      </c>
      <c r="L14" s="115">
        <f>K14*G14</f>
        <v>9.8103198955844977E-4</v>
      </c>
      <c r="M14" s="141">
        <f t="shared" ref="M14:M52" si="11">$C$3*$I$51/(G13*H13)</f>
        <v>2520.2026322150009</v>
      </c>
      <c r="N14" s="141">
        <f t="shared" si="6"/>
        <v>210.08979949567083</v>
      </c>
      <c r="O14" s="144">
        <v>0</v>
      </c>
      <c r="P14" s="143">
        <v>0</v>
      </c>
      <c r="Q14" s="144">
        <f t="shared" si="1"/>
        <v>2.0808</v>
      </c>
      <c r="R14" s="144">
        <f t="shared" si="2"/>
        <v>0.42017959899134166</v>
      </c>
      <c r="S14" s="144">
        <f t="shared" si="7"/>
        <v>102.41747292938365</v>
      </c>
      <c r="T14" s="144">
        <f t="shared" si="8"/>
        <v>6.1774639197201502</v>
      </c>
      <c r="U14" s="145">
        <f t="shared" ref="U14:U51" si="12">S14+T14-O14-Q14-R14-P14</f>
        <v>106.09395725011247</v>
      </c>
      <c r="V14" s="143">
        <f t="shared" si="3"/>
        <v>105.79722261667382</v>
      </c>
      <c r="W14" s="143">
        <f t="shared" si="4"/>
        <v>100.75634192471161</v>
      </c>
      <c r="X14" s="3">
        <f t="shared" si="9"/>
        <v>110.50252003320269</v>
      </c>
      <c r="Z14" s="149"/>
      <c r="AB14" s="148"/>
      <c r="AC14" s="148"/>
    </row>
    <row r="15" spans="1:37" x14ac:dyDescent="0.25">
      <c r="A15">
        <v>33</v>
      </c>
      <c r="B15">
        <v>4</v>
      </c>
      <c r="C15" s="137">
        <f>TUM!C7</f>
        <v>1.0464696879975339E-3</v>
      </c>
      <c r="D15">
        <f t="shared" si="0"/>
        <v>0.99895353031200251</v>
      </c>
      <c r="E15" s="195">
        <f>'All bonds'!E8</f>
        <v>1.7564373466652632</v>
      </c>
      <c r="F15" s="195">
        <f t="shared" si="10"/>
        <v>2.1438372036397304</v>
      </c>
      <c r="G15" s="138">
        <f t="shared" si="5"/>
        <v>0.9321537651237003</v>
      </c>
      <c r="H15" s="115">
        <f>PRODUCT($D$12:D15)</f>
        <v>0.99615955299866155</v>
      </c>
      <c r="I15" s="115">
        <f>H15*G15</f>
        <v>0.92857387799164459</v>
      </c>
      <c r="J15" s="139">
        <f>$C$6*SUM(I14:$I$50)/(G14*H14)</f>
        <v>2254.4555796113314</v>
      </c>
      <c r="K15" s="140">
        <f t="shared" ref="K15:K47" si="13">H14-H15</f>
        <v>1.0435428125437074E-3</v>
      </c>
      <c r="L15" s="115">
        <f>K15*G15</f>
        <v>9.7274236178039261E-4</v>
      </c>
      <c r="M15" s="141">
        <f t="shared" si="11"/>
        <v>2573.5819304747106</v>
      </c>
      <c r="N15" s="141">
        <f t="shared" si="6"/>
        <v>319.12635086337923</v>
      </c>
      <c r="O15" s="144">
        <v>0</v>
      </c>
      <c r="P15" s="143">
        <v>0</v>
      </c>
      <c r="Q15" s="144">
        <f t="shared" si="1"/>
        <v>2.1224159999999999</v>
      </c>
      <c r="R15" s="144">
        <f t="shared" si="2"/>
        <v>0.63825270172675852</v>
      </c>
      <c r="S15" s="144">
        <f t="shared" si="7"/>
        <v>102.41747292938365</v>
      </c>
      <c r="T15" s="144">
        <f t="shared" si="8"/>
        <v>8.9780290814179029</v>
      </c>
      <c r="U15" s="145">
        <f t="shared" si="12"/>
        <v>108.63483330907479</v>
      </c>
      <c r="V15" s="143">
        <f t="shared" si="3"/>
        <v>108.21762698925205</v>
      </c>
      <c r="W15" s="143">
        <f t="shared" si="4"/>
        <v>100.87546845078347</v>
      </c>
      <c r="X15" s="3">
        <f t="shared" si="9"/>
        <v>114.68199179286675</v>
      </c>
      <c r="Z15" s="149"/>
      <c r="AB15" s="148"/>
      <c r="AC15" s="148"/>
    </row>
    <row r="16" spans="1:37" x14ac:dyDescent="0.25">
      <c r="A16">
        <v>34</v>
      </c>
      <c r="B16">
        <v>5</v>
      </c>
      <c r="C16" s="137">
        <f>TUM!C8</f>
        <v>1.0284638099251429E-3</v>
      </c>
      <c r="D16">
        <f>1-C16</f>
        <v>0.99897153619007484</v>
      </c>
      <c r="E16" s="195">
        <f>'All bonds'!E9</f>
        <v>1.8784810043238007</v>
      </c>
      <c r="F16" s="195">
        <f t="shared" si="10"/>
        <v>2.3666556349579508</v>
      </c>
      <c r="G16" s="138">
        <f t="shared" si="5"/>
        <v>0.91035190064525529</v>
      </c>
      <c r="H16" s="115">
        <f>PRODUCT($D$12:D16)</f>
        <v>0.99513503894949118</v>
      </c>
      <c r="I16" s="115">
        <f t="shared" ref="I16:I47" si="14">H16*G16</f>
        <v>0.90592307410635942</v>
      </c>
      <c r="J16" s="139">
        <f>$C$6*SUM(I15:$I$50)/(G15*H15)</f>
        <v>2200.9756500765966</v>
      </c>
      <c r="K16" s="140">
        <f t="shared" si="13"/>
        <v>1.0245140491703664E-3</v>
      </c>
      <c r="L16" s="115">
        <f t="shared" ref="L16:L47" si="15">K16*G16</f>
        <v>9.326683119000095E-4</v>
      </c>
      <c r="M16" s="141">
        <f t="shared" si="11"/>
        <v>2632.1054189813685</v>
      </c>
      <c r="N16" s="141">
        <f t="shared" si="6"/>
        <v>431.12976890477194</v>
      </c>
      <c r="O16" s="144">
        <v>0</v>
      </c>
      <c r="P16" s="143">
        <v>0</v>
      </c>
      <c r="Q16" s="144">
        <f t="shared" si="1"/>
        <v>2.16486432</v>
      </c>
      <c r="R16" s="144">
        <f t="shared" si="2"/>
        <v>0.8622595378095439</v>
      </c>
      <c r="S16" s="144">
        <f t="shared" si="7"/>
        <v>102.41747292938365</v>
      </c>
      <c r="T16" s="144">
        <f t="shared" si="8"/>
        <v>12.555584266672762</v>
      </c>
      <c r="U16" s="145">
        <f t="shared" si="12"/>
        <v>111.94593333824686</v>
      </c>
      <c r="V16" s="143">
        <f t="shared" si="3"/>
        <v>111.40132073279344</v>
      </c>
      <c r="W16" s="143">
        <f t="shared" si="4"/>
        <v>101.41440406349018</v>
      </c>
      <c r="X16" s="3">
        <f t="shared" si="9"/>
        <v>119.78070519139042</v>
      </c>
      <c r="Z16" s="149"/>
      <c r="AB16" s="148"/>
      <c r="AC16" s="148"/>
    </row>
    <row r="17" spans="1:29" x14ac:dyDescent="0.25">
      <c r="A17">
        <v>35</v>
      </c>
      <c r="B17">
        <v>6</v>
      </c>
      <c r="C17" s="137">
        <f>TUM!C9</f>
        <v>1.0709044775518422E-3</v>
      </c>
      <c r="D17">
        <f>1-C17</f>
        <v>0.99892909552244813</v>
      </c>
      <c r="E17" s="195">
        <f>'All bonds'!E10</f>
        <v>1.9972831483659572</v>
      </c>
      <c r="F17" s="195">
        <f t="shared" si="10"/>
        <v>2.5912938685767397</v>
      </c>
      <c r="G17" s="138">
        <f t="shared" si="5"/>
        <v>0.88706502637596252</v>
      </c>
      <c r="H17" s="115">
        <f>PRODUCT($D$12:D17)</f>
        <v>0.99406934438051142</v>
      </c>
      <c r="I17" s="115">
        <f>H17*G17</f>
        <v>0.88180414919243411</v>
      </c>
      <c r="J17" s="139">
        <f>$C$6*SUM(I16:$I$50)/(G16*H16)</f>
        <v>2151.0284487089707</v>
      </c>
      <c r="K17" s="140">
        <f t="shared" si="13"/>
        <v>1.0656945689797581E-3</v>
      </c>
      <c r="L17" s="115">
        <f t="shared" si="15"/>
        <v>9.4534038094074913E-4</v>
      </c>
      <c r="M17" s="141">
        <f t="shared" si="11"/>
        <v>2697.9159776864267</v>
      </c>
      <c r="N17" s="141">
        <f t="shared" si="6"/>
        <v>546.88752897745599</v>
      </c>
      <c r="O17" s="144">
        <v>0</v>
      </c>
      <c r="P17" s="143">
        <v>0</v>
      </c>
      <c r="Q17" s="144">
        <f t="shared" si="1"/>
        <v>2.2081616064</v>
      </c>
      <c r="R17" s="144">
        <f t="shared" si="2"/>
        <v>1.0937750579549119</v>
      </c>
      <c r="S17" s="144">
        <f t="shared" si="7"/>
        <v>102.41747292938365</v>
      </c>
      <c r="T17" s="144">
        <f t="shared" si="8"/>
        <v>16.739837820446301</v>
      </c>
      <c r="U17" s="145">
        <f t="shared" si="12"/>
        <v>115.85537408547503</v>
      </c>
      <c r="V17" s="143">
        <f t="shared" si="3"/>
        <v>115.16827576010706</v>
      </c>
      <c r="W17" s="143">
        <f t="shared" si="4"/>
        <v>102.1617495748135</v>
      </c>
      <c r="X17" s="3">
        <f t="shared" si="9"/>
        <v>125.64022223934515</v>
      </c>
      <c r="Z17" s="149"/>
      <c r="AB17" s="148"/>
      <c r="AC17" s="148"/>
    </row>
    <row r="18" spans="1:29" x14ac:dyDescent="0.25">
      <c r="A18">
        <v>36</v>
      </c>
      <c r="B18">
        <v>7</v>
      </c>
      <c r="C18" s="137">
        <f>TUM!C10</f>
        <v>1.2274063642613777E-3</v>
      </c>
      <c r="D18">
        <f t="shared" si="0"/>
        <v>0.99877259363573867</v>
      </c>
      <c r="E18" s="195">
        <f>'All bonds'!E11</f>
        <v>2.1092370667478044</v>
      </c>
      <c r="F18" s="195">
        <f t="shared" si="10"/>
        <v>2.7809605770388881</v>
      </c>
      <c r="G18" s="138">
        <f t="shared" si="5"/>
        <v>0.8627359565559527</v>
      </c>
      <c r="H18" s="115">
        <f>PRODUCT($D$12:D18)</f>
        <v>0.99284921734070164</v>
      </c>
      <c r="I18" s="115">
        <f t="shared" si="14"/>
        <v>0.85656671923825922</v>
      </c>
      <c r="J18" s="139">
        <f>$C$6*SUM(I17:$I$50)/(G17*H17)</f>
        <v>2104.6441599599084</v>
      </c>
      <c r="K18" s="140">
        <f t="shared" si="13"/>
        <v>1.2201270398097819E-3</v>
      </c>
      <c r="L18" s="115">
        <f t="shared" si="15"/>
        <v>1.052647468810075E-3</v>
      </c>
      <c r="M18" s="141">
        <f t="shared" si="11"/>
        <v>2771.7088181368722</v>
      </c>
      <c r="N18" s="141">
        <f t="shared" si="6"/>
        <v>667.0646581769638</v>
      </c>
      <c r="O18" s="144">
        <v>0</v>
      </c>
      <c r="P18" s="143">
        <v>0</v>
      </c>
      <c r="Q18" s="144">
        <f t="shared" si="1"/>
        <v>2.2523248385280001</v>
      </c>
      <c r="R18" s="144">
        <f t="shared" si="2"/>
        <v>1.3341293163539276</v>
      </c>
      <c r="S18" s="144">
        <f t="shared" si="7"/>
        <v>102.41747292938365</v>
      </c>
      <c r="T18" s="144">
        <f t="shared" si="8"/>
        <v>21.299256837265375</v>
      </c>
      <c r="U18" s="145">
        <f t="shared" si="12"/>
        <v>120.1302756117671</v>
      </c>
      <c r="V18" s="143">
        <f t="shared" si="3"/>
        <v>119.27125012006574</v>
      </c>
      <c r="W18" s="143">
        <f t="shared" si="4"/>
        <v>102.8995960619592</v>
      </c>
      <c r="X18" s="3">
        <f t="shared" si="9"/>
        <v>132.01731858543926</v>
      </c>
      <c r="Z18" s="149"/>
      <c r="AB18" s="148"/>
      <c r="AC18" s="148"/>
    </row>
    <row r="19" spans="1:29" x14ac:dyDescent="0.25">
      <c r="A19">
        <v>37</v>
      </c>
      <c r="B19">
        <v>8</v>
      </c>
      <c r="C19" s="137">
        <f>TUM!C11</f>
        <v>1.4161826546013117E-3</v>
      </c>
      <c r="D19">
        <f t="shared" si="0"/>
        <v>0.99858381734539869</v>
      </c>
      <c r="E19" s="195">
        <f>'All bonds'!E12</f>
        <v>2.2112849186643211</v>
      </c>
      <c r="F19" s="195">
        <f t="shared" si="10"/>
        <v>2.9256198820799373</v>
      </c>
      <c r="G19" s="138">
        <f t="shared" si="5"/>
        <v>0.83786122612762337</v>
      </c>
      <c r="H19" s="115">
        <f>PRODUCT($D$12:D19)</f>
        <v>0.99144316150046929</v>
      </c>
      <c r="I19" s="115">
        <f t="shared" si="14"/>
        <v>0.83069178293063051</v>
      </c>
      <c r="J19" s="139">
        <f>$C$6*SUM(I18:$I$50)/(G18*H18)</f>
        <v>2061.2192379099815</v>
      </c>
      <c r="K19" s="140">
        <f t="shared" si="13"/>
        <v>1.4060558402323453E-3</v>
      </c>
      <c r="L19" s="115">
        <f>K19*G19</f>
        <v>1.1780796703009786E-3</v>
      </c>
      <c r="M19" s="141">
        <f t="shared" si="11"/>
        <v>2853.3729846051947</v>
      </c>
      <c r="N19" s="141">
        <f t="shared" si="6"/>
        <v>792.15374669521316</v>
      </c>
      <c r="O19" s="144">
        <v>0</v>
      </c>
      <c r="P19" s="143">
        <v>0</v>
      </c>
      <c r="Q19" s="144">
        <f t="shared" si="1"/>
        <v>2.2973713352985596</v>
      </c>
      <c r="R19" s="144">
        <f t="shared" si="2"/>
        <v>1.5843074933904264</v>
      </c>
      <c r="S19" s="144">
        <f t="shared" si="7"/>
        <v>102.41747292938365</v>
      </c>
      <c r="T19" s="144">
        <f t="shared" si="8"/>
        <v>26.058190293131574</v>
      </c>
      <c r="U19" s="145">
        <f t="shared" si="12"/>
        <v>124.59398439382622</v>
      </c>
      <c r="V19" s="143">
        <f t="shared" si="3"/>
        <v>123.5278537913552</v>
      </c>
      <c r="W19" s="143">
        <f t="shared" si="4"/>
        <v>103.49919903853866</v>
      </c>
      <c r="X19" s="3">
        <f t="shared" si="9"/>
        <v>138.72647060677585</v>
      </c>
      <c r="Z19" s="149"/>
      <c r="AB19" s="148"/>
      <c r="AC19" s="148"/>
    </row>
    <row r="20" spans="1:29" x14ac:dyDescent="0.25">
      <c r="A20">
        <v>38</v>
      </c>
      <c r="B20">
        <v>9</v>
      </c>
      <c r="C20" s="137">
        <f>TUM!C12</f>
        <v>1.5622393001174472E-3</v>
      </c>
      <c r="D20">
        <f t="shared" si="0"/>
        <v>0.99843776069988255</v>
      </c>
      <c r="E20" s="195">
        <f>'All bonds'!E13</f>
        <v>2.3019781018645897</v>
      </c>
      <c r="F20" s="195">
        <f t="shared" si="10"/>
        <v>3.0275235674667407</v>
      </c>
      <c r="G20" s="138">
        <f t="shared" si="5"/>
        <v>0.81287492165918218</v>
      </c>
      <c r="H20" s="115">
        <f>PRODUCT($D$12:D20)</f>
        <v>0.98989429002974061</v>
      </c>
      <c r="I20" s="115">
        <f t="shared" si="14"/>
        <v>0.80466024345879716</v>
      </c>
      <c r="J20" s="139">
        <f>$C$6*SUM(I19:$I$50)/(G19*H19)</f>
        <v>2019.815816099936</v>
      </c>
      <c r="K20" s="140">
        <f t="shared" si="13"/>
        <v>1.5488714707286855E-3</v>
      </c>
      <c r="L20" s="115">
        <f>K20*G20</f>
        <v>1.2590387754287224E-3</v>
      </c>
      <c r="M20" s="141">
        <f t="shared" si="11"/>
        <v>2942.2517309172108</v>
      </c>
      <c r="N20" s="141">
        <f t="shared" si="6"/>
        <v>922.43591481727481</v>
      </c>
      <c r="O20" s="144">
        <v>0</v>
      </c>
      <c r="P20" s="143">
        <v>0</v>
      </c>
      <c r="Q20" s="144">
        <f t="shared" si="1"/>
        <v>2.343318762004531</v>
      </c>
      <c r="R20" s="144">
        <f t="shared" si="2"/>
        <v>1.8448718296345497</v>
      </c>
      <c r="S20" s="144">
        <f t="shared" si="7"/>
        <v>102.41747292938365</v>
      </c>
      <c r="T20" s="144">
        <f t="shared" si="8"/>
        <v>30.900879388799083</v>
      </c>
      <c r="U20" s="145">
        <f t="shared" si="12"/>
        <v>129.13016172654366</v>
      </c>
      <c r="V20" s="143">
        <f t="shared" si="3"/>
        <v>127.82520976372253</v>
      </c>
      <c r="W20" s="143">
        <f t="shared" si="4"/>
        <v>103.90590737275448</v>
      </c>
      <c r="X20" s="3">
        <f t="shared" si="9"/>
        <v>145.64992344752724</v>
      </c>
      <c r="Z20" s="149"/>
      <c r="AB20" s="148"/>
      <c r="AC20" s="148"/>
    </row>
    <row r="21" spans="1:29" x14ac:dyDescent="0.25">
      <c r="A21">
        <v>39</v>
      </c>
      <c r="B21">
        <v>10</v>
      </c>
      <c r="C21" s="137">
        <f>TUM!C13</f>
        <v>1.7069170953454866E-3</v>
      </c>
      <c r="D21">
        <f t="shared" si="0"/>
        <v>0.99829308290465446</v>
      </c>
      <c r="E21" s="195">
        <f>'All bonds'!E14</f>
        <v>2.3810857206022402</v>
      </c>
      <c r="F21" s="195">
        <f>B21*E21-B20*E20</f>
        <v>3.0930542892410919</v>
      </c>
      <c r="G21" s="138">
        <f t="shared" si="5"/>
        <v>0.78811711894918035</v>
      </c>
      <c r="H21" s="115">
        <f>PRODUCT($D$12:D21)</f>
        <v>0.98820462254350394</v>
      </c>
      <c r="I21" s="115">
        <f>H21*G21</f>
        <v>0.77882098005124856</v>
      </c>
      <c r="J21" s="139">
        <f>$C$6*SUM(I20:$I$50)/(G20*H20)</f>
        <v>1979.4280396284312</v>
      </c>
      <c r="K21" s="140">
        <f t="shared" si="13"/>
        <v>1.6896674862366678E-3</v>
      </c>
      <c r="L21" s="115">
        <f>K21*G21</f>
        <v>1.3316558712349465E-3</v>
      </c>
      <c r="M21" s="141">
        <f t="shared" si="11"/>
        <v>3037.4364286726473</v>
      </c>
      <c r="N21" s="141">
        <f t="shared" si="6"/>
        <v>1058.0083890442161</v>
      </c>
      <c r="O21" s="144">
        <v>0</v>
      </c>
      <c r="P21" s="143">
        <v>0</v>
      </c>
      <c r="Q21" s="144">
        <f t="shared" si="1"/>
        <v>2.3901851372446217</v>
      </c>
      <c r="R21" s="144">
        <f t="shared" si="2"/>
        <v>2.116016778088432</v>
      </c>
      <c r="S21" s="144">
        <f t="shared" si="7"/>
        <v>102.41747292938365</v>
      </c>
      <c r="T21" s="144">
        <f t="shared" si="8"/>
        <v>35.753222625613269</v>
      </c>
      <c r="U21" s="145">
        <f>S21+T21-O21-Q21-R21-P21</f>
        <v>133.66449363966385</v>
      </c>
      <c r="V21" s="143">
        <f t="shared" si="3"/>
        <v>132.0878704846526</v>
      </c>
      <c r="W21" s="143">
        <f t="shared" si="4"/>
        <v>104.10071193449689</v>
      </c>
      <c r="X21" s="3">
        <f t="shared" si="9"/>
        <v>152.70596097616732</v>
      </c>
      <c r="Z21" s="149"/>
      <c r="AB21" s="148"/>
      <c r="AC21" s="148"/>
    </row>
    <row r="22" spans="1:29" x14ac:dyDescent="0.25">
      <c r="A22">
        <v>40</v>
      </c>
      <c r="B22">
        <v>11</v>
      </c>
      <c r="C22" s="137">
        <f>TUM!C14</f>
        <v>1.79244123660696E-3</v>
      </c>
      <c r="D22">
        <f t="shared" si="0"/>
        <v>0.99820755876339307</v>
      </c>
      <c r="E22" s="195">
        <f>'All bonds'!E15</f>
        <v>2.4490979668038828</v>
      </c>
      <c r="F22" s="195">
        <f t="shared" si="10"/>
        <v>3.1292204288203109</v>
      </c>
      <c r="G22" s="138">
        <f t="shared" si="5"/>
        <v>0.7638370664653148</v>
      </c>
      <c r="H22" s="115">
        <f>PRODUCT($D$12:D22)</f>
        <v>0.98643332382785143</v>
      </c>
      <c r="I22" s="115">
        <f t="shared" si="14"/>
        <v>0.7534743363362959</v>
      </c>
      <c r="J22" s="139">
        <f>$C$6*SUM(I21:$I$50)/(G21*H21)</f>
        <v>1939.2849168950288</v>
      </c>
      <c r="K22" s="140">
        <f t="shared" si="13"/>
        <v>1.771298715652514E-3</v>
      </c>
      <c r="L22" s="115">
        <f t="shared" si="15"/>
        <v>1.3529836147977961E-3</v>
      </c>
      <c r="M22" s="141">
        <f t="shared" si="11"/>
        <v>3138.2107041152422</v>
      </c>
      <c r="N22" s="141">
        <f t="shared" si="6"/>
        <v>1198.9257872202134</v>
      </c>
      <c r="O22" s="144">
        <v>0</v>
      </c>
      <c r="P22" s="143">
        <v>0</v>
      </c>
      <c r="Q22" s="144">
        <f t="shared" si="1"/>
        <v>2.4379888399895142</v>
      </c>
      <c r="R22" s="144">
        <f t="shared" si="2"/>
        <v>2.397851574440427</v>
      </c>
      <c r="S22" s="144">
        <f t="shared" si="7"/>
        <v>102.41747292938365</v>
      </c>
      <c r="T22" s="144">
        <f t="shared" si="8"/>
        <v>40.570575039523945</v>
      </c>
      <c r="U22" s="145">
        <f t="shared" si="12"/>
        <v>138.15220755447766</v>
      </c>
      <c r="V22" s="143">
        <f t="shared" si="3"/>
        <v>136.27794129211861</v>
      </c>
      <c r="W22" s="143">
        <f t="shared" si="4"/>
        <v>104.09414290050427</v>
      </c>
      <c r="X22" s="3">
        <f t="shared" si="9"/>
        <v>159.85194361966782</v>
      </c>
      <c r="Z22" s="149"/>
      <c r="AB22" s="148"/>
      <c r="AC22" s="148"/>
    </row>
    <row r="23" spans="1:29" x14ac:dyDescent="0.25">
      <c r="A23">
        <v>41</v>
      </c>
      <c r="B23">
        <v>12</v>
      </c>
      <c r="C23" s="137">
        <f>TUM!C15</f>
        <v>1.9609889240404178E-3</v>
      </c>
      <c r="D23">
        <f t="shared" si="0"/>
        <v>0.9980390110759596</v>
      </c>
      <c r="E23" s="195">
        <f>'All bonds'!E16</f>
        <v>2.5068730030311168</v>
      </c>
      <c r="F23" s="195">
        <f t="shared" si="10"/>
        <v>3.1423984015306878</v>
      </c>
      <c r="G23" s="138">
        <f t="shared" si="5"/>
        <v>0.74020747507057438</v>
      </c>
      <c r="H23" s="115">
        <f>PRODUCT($D$12:D23)</f>
        <v>0.98449893900552066</v>
      </c>
      <c r="I23" s="115">
        <f t="shared" si="14"/>
        <v>0.7287334738509359</v>
      </c>
      <c r="J23" s="139">
        <f>$C$6*SUM(I22:$I$50)/(G22*H22)</f>
        <v>1898.6590968574731</v>
      </c>
      <c r="K23" s="140">
        <f t="shared" si="13"/>
        <v>1.9343848223307702E-3</v>
      </c>
      <c r="L23" s="115">
        <f t="shared" si="15"/>
        <v>1.431846105152301E-3</v>
      </c>
      <c r="M23" s="141">
        <f t="shared" si="11"/>
        <v>3243.7791419288396</v>
      </c>
      <c r="N23" s="141">
        <f t="shared" si="6"/>
        <v>1345.1200450713666</v>
      </c>
      <c r="O23" s="144">
        <v>0</v>
      </c>
      <c r="P23" s="143">
        <v>0</v>
      </c>
      <c r="Q23" s="144">
        <f t="shared" si="1"/>
        <v>2.486748616789304</v>
      </c>
      <c r="R23" s="144">
        <f t="shared" si="2"/>
        <v>2.690240090142733</v>
      </c>
      <c r="S23" s="144">
        <f t="shared" si="7"/>
        <v>102.41747292938365</v>
      </c>
      <c r="T23" s="144">
        <f t="shared" si="8"/>
        <v>45.324714216838508</v>
      </c>
      <c r="U23" s="145">
        <f t="shared" si="12"/>
        <v>142.56519843929013</v>
      </c>
      <c r="V23" s="143">
        <f t="shared" si="3"/>
        <v>140.35528660259263</v>
      </c>
      <c r="W23" s="143">
        <f t="shared" si="4"/>
        <v>103.89203230891191</v>
      </c>
      <c r="X23" s="3">
        <f t="shared" si="9"/>
        <v>167.03998314862091</v>
      </c>
      <c r="Z23" s="149"/>
      <c r="AB23" s="148"/>
      <c r="AC23" s="148"/>
    </row>
    <row r="24" spans="1:29" x14ac:dyDescent="0.25">
      <c r="A24">
        <v>42</v>
      </c>
      <c r="B24">
        <v>13</v>
      </c>
      <c r="C24" s="137">
        <f>TUM!C16</f>
        <v>2.1915353318650377E-3</v>
      </c>
      <c r="D24">
        <f t="shared" si="0"/>
        <v>0.997808464668135</v>
      </c>
      <c r="E24" s="195">
        <f>'All bonds'!E17</f>
        <v>2.5554211283640349</v>
      </c>
      <c r="F24" s="195">
        <f t="shared" si="10"/>
        <v>3.1379986323590501</v>
      </c>
      <c r="G24" s="138">
        <f t="shared" si="5"/>
        <v>0.71734043473983211</v>
      </c>
      <c r="H24" s="115">
        <f>PRODUCT($D$12:D24)</f>
        <v>0.98234137479650641</v>
      </c>
      <c r="I24" s="115">
        <f t="shared" si="14"/>
        <v>0.70467318885945029</v>
      </c>
      <c r="J24" s="139">
        <f>$C$6*SUM(I23:$I$50)/(G23*H23)</f>
        <v>1857.2249170012644</v>
      </c>
      <c r="K24" s="140">
        <f t="shared" si="13"/>
        <v>2.1575642090142511E-3</v>
      </c>
      <c r="L24" s="115">
        <f t="shared" si="15"/>
        <v>1.5477080476733848E-3</v>
      </c>
      <c r="M24" s="141">
        <f t="shared" si="11"/>
        <v>3353.9070509148846</v>
      </c>
      <c r="N24" s="141">
        <f t="shared" si="6"/>
        <v>1496.6821339136202</v>
      </c>
      <c r="O24" s="144">
        <v>0</v>
      </c>
      <c r="P24" s="143">
        <v>0</v>
      </c>
      <c r="Q24" s="144">
        <f t="shared" si="1"/>
        <v>2.5364835891250905</v>
      </c>
      <c r="R24" s="144">
        <f t="shared" si="2"/>
        <v>2.9933642678272405</v>
      </c>
      <c r="S24" s="144">
        <f t="shared" si="7"/>
        <v>102.41747292938365</v>
      </c>
      <c r="T24" s="144">
        <f t="shared" si="8"/>
        <v>50.006197242669707</v>
      </c>
      <c r="U24" s="145">
        <f t="shared" si="12"/>
        <v>146.89382231510103</v>
      </c>
      <c r="V24" s="143">
        <f t="shared" si="3"/>
        <v>144.29987936213007</v>
      </c>
      <c r="W24" s="143">
        <f t="shared" si="4"/>
        <v>103.51213819453571</v>
      </c>
      <c r="X24" s="3">
        <f t="shared" si="9"/>
        <v>174.24364012262998</v>
      </c>
      <c r="Z24" s="147"/>
      <c r="AB24" s="148"/>
      <c r="AC24" s="148"/>
    </row>
    <row r="25" spans="1:29" x14ac:dyDescent="0.25">
      <c r="A25">
        <v>43</v>
      </c>
      <c r="B25">
        <v>14</v>
      </c>
      <c r="C25" s="137">
        <f>TUM!C17</f>
        <v>2.50621450025804E-3</v>
      </c>
      <c r="D25">
        <f t="shared" si="0"/>
        <v>0.99749378549974199</v>
      </c>
      <c r="E25" s="195">
        <f>'All bonds'!E18</f>
        <v>2.5957817548369411</v>
      </c>
      <c r="F25" s="195">
        <f t="shared" si="10"/>
        <v>3.120469898984723</v>
      </c>
      <c r="G25" s="138">
        <f t="shared" si="5"/>
        <v>0.69530168693890171</v>
      </c>
      <c r="H25" s="115">
        <f>PRODUCT($D$12:D25)</f>
        <v>0.97987941659878797</v>
      </c>
      <c r="I25" s="115">
        <f t="shared" si="14"/>
        <v>0.68131181135784413</v>
      </c>
      <c r="J25" s="139">
        <f>$C$6*SUM(I24:$I$50)/(G24*H24)</f>
        <v>1814.7233992650774</v>
      </c>
      <c r="K25" s="140">
        <f t="shared" si="13"/>
        <v>2.461958197718439E-3</v>
      </c>
      <c r="L25" s="115">
        <f t="shared" si="15"/>
        <v>1.7118036880466889E-3</v>
      </c>
      <c r="M25" s="141">
        <f t="shared" si="11"/>
        <v>3468.4224897817667</v>
      </c>
      <c r="N25" s="141">
        <f t="shared" si="6"/>
        <v>1653.6990905166892</v>
      </c>
      <c r="O25" s="144">
        <v>0</v>
      </c>
      <c r="P25" s="143">
        <v>0</v>
      </c>
      <c r="Q25" s="144">
        <f t="shared" si="1"/>
        <v>2.5872132609075922</v>
      </c>
      <c r="R25" s="144">
        <f t="shared" si="2"/>
        <v>3.3073981810333786</v>
      </c>
      <c r="S25" s="144">
        <f t="shared" si="7"/>
        <v>102.41747292938365</v>
      </c>
      <c r="T25" s="144">
        <f t="shared" si="8"/>
        <v>54.615149177711778</v>
      </c>
      <c r="U25" s="145">
        <f t="shared" si="12"/>
        <v>151.13801066515444</v>
      </c>
      <c r="V25" s="143">
        <f t="shared" si="3"/>
        <v>148.09702571647293</v>
      </c>
      <c r="W25" s="143">
        <f t="shared" si="4"/>
        <v>102.97211181129754</v>
      </c>
      <c r="X25" s="3">
        <f t="shared" si="9"/>
        <v>181.44149224712947</v>
      </c>
      <c r="Z25" s="149"/>
      <c r="AB25" s="148"/>
      <c r="AC25" s="148"/>
    </row>
    <row r="26" spans="1:29" x14ac:dyDescent="0.25">
      <c r="A26">
        <v>44</v>
      </c>
      <c r="B26">
        <v>15</v>
      </c>
      <c r="C26" s="137">
        <f>TUM!C18</f>
        <v>2.7492339648723255E-3</v>
      </c>
      <c r="D26">
        <f t="shared" si="0"/>
        <v>0.99725076603512763</v>
      </c>
      <c r="E26" s="195">
        <f>'All bonds'!E19</f>
        <v>2.628956940481757</v>
      </c>
      <c r="F26" s="195">
        <f t="shared" si="10"/>
        <v>3.0934095395091816</v>
      </c>
      <c r="G26" s="138">
        <f t="shared" si="5"/>
        <v>0.67412242771411235</v>
      </c>
      <c r="H26" s="115">
        <f>PRODUCT($D$12:D26)</f>
        <v>0.97718549882519523</v>
      </c>
      <c r="I26" s="115">
        <f t="shared" si="14"/>
        <v>0.65874266079506649</v>
      </c>
      <c r="J26" s="139">
        <f>$C$6*SUM(I25:$I$50)/(G25*H25)</f>
        <v>1771.0188746165147</v>
      </c>
      <c r="K26" s="140">
        <f t="shared" si="13"/>
        <v>2.6939177735927355E-3</v>
      </c>
      <c r="L26" s="115">
        <f t="shared" si="15"/>
        <v>1.8160303895965314E-3</v>
      </c>
      <c r="M26" s="141">
        <f t="shared" si="11"/>
        <v>3587.3506013572387</v>
      </c>
      <c r="N26" s="141">
        <f t="shared" si="6"/>
        <v>1816.331726740724</v>
      </c>
      <c r="O26" s="144">
        <v>0</v>
      </c>
      <c r="P26" s="143">
        <v>0</v>
      </c>
      <c r="Q26" s="144">
        <f t="shared" si="1"/>
        <v>2.6389575261257443</v>
      </c>
      <c r="R26" s="144">
        <f t="shared" si="2"/>
        <v>3.6326634534814479</v>
      </c>
      <c r="S26" s="144">
        <f t="shared" si="7"/>
        <v>102.41747292938365</v>
      </c>
      <c r="T26" s="144">
        <f t="shared" si="8"/>
        <v>59.160763860186151</v>
      </c>
      <c r="U26" s="145">
        <f t="shared" si="12"/>
        <v>155.30661580996261</v>
      </c>
      <c r="V26" s="143">
        <f t="shared" si="3"/>
        <v>151.76337284111128</v>
      </c>
      <c r="W26" s="143">
        <f t="shared" si="4"/>
        <v>102.30709333773191</v>
      </c>
      <c r="X26" s="3">
        <f t="shared" si="9"/>
        <v>188.64988621554082</v>
      </c>
      <c r="Z26" s="149"/>
      <c r="AB26" s="148"/>
      <c r="AC26" s="148"/>
    </row>
    <row r="27" spans="1:29" x14ac:dyDescent="0.25">
      <c r="A27">
        <v>45</v>
      </c>
      <c r="B27">
        <v>16</v>
      </c>
      <c r="C27" s="137">
        <f>TUM!C19</f>
        <v>2.9586052969170283E-3</v>
      </c>
      <c r="D27">
        <f t="shared" si="0"/>
        <v>0.99704139470308295</v>
      </c>
      <c r="E27" s="195">
        <f>'All bonds'!E20</f>
        <v>2.6558780144468774</v>
      </c>
      <c r="F27" s="195">
        <f t="shared" si="10"/>
        <v>3.0596941239236841</v>
      </c>
      <c r="G27" s="138">
        <f t="shared" si="5"/>
        <v>0.65380869715423451</v>
      </c>
      <c r="H27" s="115">
        <f>PRODUCT($D$12:D27)</f>
        <v>0.97429439263230044</v>
      </c>
      <c r="I27" s="115">
        <f t="shared" si="14"/>
        <v>0.63700214749160056</v>
      </c>
      <c r="J27" s="139">
        <f>$C$6*SUM(I26:$I$50)/(G26*H26)</f>
        <v>1725.7692739158501</v>
      </c>
      <c r="K27" s="140">
        <f t="shared" si="13"/>
        <v>2.8911061928947879E-3</v>
      </c>
      <c r="L27" s="115">
        <f t="shared" si="15"/>
        <v>1.8902303733110803E-3</v>
      </c>
      <c r="M27" s="141">
        <f t="shared" si="11"/>
        <v>3710.2566474690602</v>
      </c>
      <c r="N27" s="141">
        <f t="shared" si="6"/>
        <v>1984.4873735532101</v>
      </c>
      <c r="O27" s="144">
        <v>0</v>
      </c>
      <c r="P27" s="143">
        <v>0</v>
      </c>
      <c r="Q27" s="144">
        <f t="shared" si="1"/>
        <v>2.6917366766482584</v>
      </c>
      <c r="R27" s="144">
        <f t="shared" si="2"/>
        <v>3.9689747471064201</v>
      </c>
      <c r="S27" s="144">
        <f t="shared" si="7"/>
        <v>102.41747292938365</v>
      </c>
      <c r="T27" s="144">
        <f t="shared" si="8"/>
        <v>63.649107563662355</v>
      </c>
      <c r="U27" s="145">
        <f t="shared" si="12"/>
        <v>159.40586906929133</v>
      </c>
      <c r="V27" s="143">
        <f t="shared" si="3"/>
        <v>155.30824438688921</v>
      </c>
      <c r="W27" s="143">
        <f t="shared" si="4"/>
        <v>101.54188091990349</v>
      </c>
      <c r="X27" s="3">
        <f t="shared" si="9"/>
        <v>195.87697720349266</v>
      </c>
      <c r="AB27" s="148"/>
      <c r="AC27" s="148"/>
    </row>
    <row r="28" spans="1:29" x14ac:dyDescent="0.25">
      <c r="A28">
        <v>46</v>
      </c>
      <c r="B28">
        <v>17</v>
      </c>
      <c r="C28" s="137">
        <f>TUM!C20</f>
        <v>3.3615550953189706E-3</v>
      </c>
      <c r="D28">
        <f t="shared" si="0"/>
        <v>0.99663844490468101</v>
      </c>
      <c r="E28" s="195">
        <f>'All bonds'!E21</f>
        <v>2.677391192659222</v>
      </c>
      <c r="F28" s="195">
        <f t="shared" si="10"/>
        <v>3.0216020440567348</v>
      </c>
      <c r="G28" s="138">
        <f t="shared" si="5"/>
        <v>0.63434868286459756</v>
      </c>
      <c r="H28" s="115">
        <f>PRODUCT($D$12:D28)</f>
        <v>0.97101924835240661</v>
      </c>
      <c r="I28" s="115">
        <f t="shared" si="14"/>
        <v>0.61596478122852072</v>
      </c>
      <c r="J28" s="139">
        <f>$C$6*SUM(I27:$I$50)/(G27*H27)</f>
        <v>1678.7558550615233</v>
      </c>
      <c r="K28" s="140">
        <f t="shared" si="13"/>
        <v>3.2751442798938379E-3</v>
      </c>
      <c r="L28" s="115">
        <f t="shared" si="15"/>
        <v>2.077583460142177E-3</v>
      </c>
      <c r="M28" s="141">
        <f t="shared" si="11"/>
        <v>3836.8855518161017</v>
      </c>
      <c r="N28" s="141">
        <f t="shared" si="6"/>
        <v>2158.1296967545786</v>
      </c>
      <c r="O28" s="144">
        <v>0</v>
      </c>
      <c r="P28" s="143">
        <v>0</v>
      </c>
      <c r="Q28" s="144">
        <f t="shared" si="1"/>
        <v>2.7455714101812241</v>
      </c>
      <c r="R28" s="144">
        <f t="shared" si="2"/>
        <v>4.3162593935091573</v>
      </c>
      <c r="S28" s="144">
        <f t="shared" si="7"/>
        <v>102.41747292938365</v>
      </c>
      <c r="T28" s="144">
        <f t="shared" si="8"/>
        <v>68.09135906212515</v>
      </c>
      <c r="U28" s="145">
        <f t="shared" si="12"/>
        <v>163.44700118781842</v>
      </c>
      <c r="V28" s="143">
        <f t="shared" si="3"/>
        <v>158.71018423885036</v>
      </c>
      <c r="W28" s="143">
        <f t="shared" si="4"/>
        <v>100.67759632911233</v>
      </c>
      <c r="X28" s="3">
        <f t="shared" si="9"/>
        <v>203.09207828644324</v>
      </c>
      <c r="AB28" s="148"/>
      <c r="AC28" s="148"/>
    </row>
    <row r="29" spans="1:29" x14ac:dyDescent="0.25">
      <c r="A29">
        <v>47</v>
      </c>
      <c r="B29">
        <v>18</v>
      </c>
      <c r="C29" s="137">
        <f>TUM!C21</f>
        <v>3.8236631832787478E-3</v>
      </c>
      <c r="D29">
        <f t="shared" si="0"/>
        <v>0.99617633681672124</v>
      </c>
      <c r="E29" s="195">
        <f>'All bonds'!E22</f>
        <v>2.6942538803239575</v>
      </c>
      <c r="F29" s="195">
        <f t="shared" si="10"/>
        <v>2.980919570624458</v>
      </c>
      <c r="G29" s="138">
        <f t="shared" si="5"/>
        <v>0.61571831648956443</v>
      </c>
      <c r="H29" s="115">
        <f>PRODUCT($D$12:D29)</f>
        <v>0.96730639780222649</v>
      </c>
      <c r="I29" s="115">
        <f t="shared" si="14"/>
        <v>0.59558826678437182</v>
      </c>
      <c r="J29" s="139">
        <f>$C$6*SUM(I28:$I$50)/(G28*H28)</f>
        <v>1630.175888609903</v>
      </c>
      <c r="K29" s="140">
        <f t="shared" si="13"/>
        <v>3.7128505501801135E-3</v>
      </c>
      <c r="L29" s="115">
        <f t="shared" si="15"/>
        <v>2.2860700901342523E-3</v>
      </c>
      <c r="M29" s="141">
        <f t="shared" si="11"/>
        <v>3967.9287041568659</v>
      </c>
      <c r="N29" s="141">
        <f t="shared" si="6"/>
        <v>2337.7528155469627</v>
      </c>
      <c r="O29" s="144">
        <v>0</v>
      </c>
      <c r="P29" s="143">
        <v>0</v>
      </c>
      <c r="Q29" s="144">
        <f t="shared" si="1"/>
        <v>2.8004828383848488</v>
      </c>
      <c r="R29" s="144">
        <f t="shared" si="2"/>
        <v>4.6755056310939258</v>
      </c>
      <c r="S29" s="144">
        <f t="shared" si="7"/>
        <v>102.41747292938365</v>
      </c>
      <c r="T29" s="144">
        <f t="shared" si="8"/>
        <v>72.516660482370369</v>
      </c>
      <c r="U29" s="145">
        <f t="shared" si="12"/>
        <v>167.45814494227525</v>
      </c>
      <c r="V29" s="143">
        <f t="shared" si="3"/>
        <v>161.98333496675542</v>
      </c>
      <c r="W29" s="143">
        <f t="shared" si="4"/>
        <v>99.736106305095845</v>
      </c>
      <c r="X29" s="3">
        <f t="shared" si="9"/>
        <v>210.30898595524846</v>
      </c>
      <c r="AB29" s="148"/>
      <c r="AC29" s="148"/>
    </row>
    <row r="30" spans="1:29" x14ac:dyDescent="0.25">
      <c r="A30">
        <v>48</v>
      </c>
      <c r="B30">
        <v>19</v>
      </c>
      <c r="C30" s="137">
        <f>TUM!C22</f>
        <v>4.3508081972202517E-3</v>
      </c>
      <c r="D30">
        <f t="shared" si="0"/>
        <v>0.99564919180277978</v>
      </c>
      <c r="E30" s="195">
        <f>'All bonds'!E23</f>
        <v>2.7071371076450825</v>
      </c>
      <c r="F30" s="195">
        <f t="shared" si="10"/>
        <v>2.9390351994253336</v>
      </c>
      <c r="G30" s="138">
        <f t="shared" si="5"/>
        <v>0.59788547876541975</v>
      </c>
      <c r="H30" s="115">
        <f>PRODUCT($D$12:D30)</f>
        <v>0.96309783319744502</v>
      </c>
      <c r="I30" s="115">
        <f t="shared" si="14"/>
        <v>0.57582220909919279</v>
      </c>
      <c r="J30" s="139">
        <f>$C$6*SUM(I29:$I$50)/(G29*H29)</f>
        <v>1580.026724444155</v>
      </c>
      <c r="K30" s="140">
        <f t="shared" si="13"/>
        <v>4.2085646047814729E-3</v>
      </c>
      <c r="L30" s="115">
        <f t="shared" si="15"/>
        <v>2.5162396636449706E-3</v>
      </c>
      <c r="M30" s="141">
        <f t="shared" si="11"/>
        <v>4103.6811376125061</v>
      </c>
      <c r="N30" s="141">
        <f t="shared" si="6"/>
        <v>2523.6544131683513</v>
      </c>
      <c r="O30" s="144">
        <v>0</v>
      </c>
      <c r="P30" s="143">
        <v>0</v>
      </c>
      <c r="Q30" s="144">
        <f t="shared" si="1"/>
        <v>2.8564924951525454</v>
      </c>
      <c r="R30" s="144">
        <f t="shared" si="2"/>
        <v>5.0473088263367023</v>
      </c>
      <c r="S30" s="144">
        <f t="shared" si="7"/>
        <v>102.41747292938365</v>
      </c>
      <c r="T30" s="144">
        <f t="shared" si="8"/>
        <v>76.948881591693976</v>
      </c>
      <c r="U30" s="145">
        <f t="shared" si="12"/>
        <v>171.4625531995884</v>
      </c>
      <c r="V30" s="143">
        <f t="shared" si="3"/>
        <v>165.13521346102522</v>
      </c>
      <c r="W30" s="143">
        <f t="shared" si="4"/>
        <v>98.731946161174847</v>
      </c>
      <c r="X30" s="3">
        <f t="shared" si="9"/>
        <v>217.53367185871909</v>
      </c>
      <c r="AB30" s="148"/>
      <c r="AC30" s="148"/>
    </row>
    <row r="31" spans="1:29" x14ac:dyDescent="0.25">
      <c r="A31">
        <v>49</v>
      </c>
      <c r="B31">
        <v>20</v>
      </c>
      <c r="C31" s="137">
        <f>TUM!C23</f>
        <v>4.7802607156820949E-3</v>
      </c>
      <c r="D31">
        <f t="shared" si="0"/>
        <v>0.99521973928431795</v>
      </c>
      <c r="E31" s="195">
        <f>'All bonds'!E24</f>
        <v>2.7166304913512533</v>
      </c>
      <c r="F31" s="195">
        <f t="shared" si="10"/>
        <v>2.8970047817685014</v>
      </c>
      <c r="G31" s="138">
        <f t="shared" si="5"/>
        <v>0.58081319430038336</v>
      </c>
      <c r="H31" s="115">
        <f>PRODUCT($D$12:D31)</f>
        <v>0.9584939744600528</v>
      </c>
      <c r="I31" s="115">
        <f t="shared" si="14"/>
        <v>0.55670594702381337</v>
      </c>
      <c r="J31" s="139">
        <f>$C$6*SUM(I30:$I$50)/(G30*H30)</f>
        <v>1528.3306534337514</v>
      </c>
      <c r="K31" s="140">
        <f t="shared" si="13"/>
        <v>4.6038587373922191E-3</v>
      </c>
      <c r="L31" s="115">
        <f t="shared" si="15"/>
        <v>2.6739818993725046E-3</v>
      </c>
      <c r="M31" s="141">
        <f t="shared" si="11"/>
        <v>4244.5468367916374</v>
      </c>
      <c r="N31" s="141">
        <f t="shared" si="6"/>
        <v>2716.2161833578857</v>
      </c>
      <c r="O31" s="144">
        <v>0</v>
      </c>
      <c r="P31" s="143">
        <v>0</v>
      </c>
      <c r="Q31" s="144">
        <f t="shared" si="1"/>
        <v>2.9136223450555963</v>
      </c>
      <c r="R31" s="144">
        <f t="shared" si="2"/>
        <v>5.4324323667157719</v>
      </c>
      <c r="S31" s="144">
        <f t="shared" si="7"/>
        <v>102.41747292938365</v>
      </c>
      <c r="T31" s="144">
        <f t="shared" si="8"/>
        <v>81.414166199089522</v>
      </c>
      <c r="U31" s="145">
        <f t="shared" si="12"/>
        <v>175.48558441670181</v>
      </c>
      <c r="V31" s="143">
        <f t="shared" si="3"/>
        <v>168.20187526800962</v>
      </c>
      <c r="W31" s="143">
        <f t="shared" si="4"/>
        <v>97.69386846172732</v>
      </c>
      <c r="X31" s="3">
        <f t="shared" si="9"/>
        <v>224.81067882725895</v>
      </c>
      <c r="AB31" s="148"/>
      <c r="AC31" s="148"/>
    </row>
    <row r="32" spans="1:29" x14ac:dyDescent="0.25">
      <c r="A32">
        <v>50</v>
      </c>
      <c r="B32">
        <v>21</v>
      </c>
      <c r="C32" s="137">
        <f>TUM!C24</f>
        <v>5.3683226934888488E-3</v>
      </c>
      <c r="D32">
        <f t="shared" si="0"/>
        <v>0.99463167730651114</v>
      </c>
      <c r="E32" s="195">
        <f>'All bonds'!E25</f>
        <v>2.7232494038034414</v>
      </c>
      <c r="F32" s="195">
        <f t="shared" si="10"/>
        <v>2.855627652847204</v>
      </c>
      <c r="G32" s="138">
        <f t="shared" si="5"/>
        <v>0.56446190916033034</v>
      </c>
      <c r="H32" s="115">
        <f>PRODUCT($D$12:D32)</f>
        <v>0.95334846950538654</v>
      </c>
      <c r="I32" s="115">
        <f t="shared" si="14"/>
        <v>0.53812889719208945</v>
      </c>
      <c r="J32" s="139">
        <f>$C$6*SUM(I31:$I$50)/(G31*H31)</f>
        <v>1474.876426183677</v>
      </c>
      <c r="K32" s="140">
        <f t="shared" si="13"/>
        <v>5.1455049546662579E-3</v>
      </c>
      <c r="L32" s="115">
        <f t="shared" si="15"/>
        <v>2.9044415503048549E-3</v>
      </c>
      <c r="M32" s="141">
        <f t="shared" si="11"/>
        <v>4390.2967971739736</v>
      </c>
      <c r="N32" s="141">
        <f t="shared" si="6"/>
        <v>2915.4203709902968</v>
      </c>
      <c r="O32" s="144">
        <v>0</v>
      </c>
      <c r="P32" s="143">
        <v>0</v>
      </c>
      <c r="Q32" s="144">
        <f t="shared" si="1"/>
        <v>2.9718947919567085</v>
      </c>
      <c r="R32" s="144">
        <f t="shared" si="2"/>
        <v>5.8308407419805937</v>
      </c>
      <c r="S32" s="144">
        <f t="shared" si="7"/>
        <v>102.41747292938365</v>
      </c>
      <c r="T32" s="144">
        <f t="shared" si="8"/>
        <v>85.926838638944119</v>
      </c>
      <c r="U32" s="145">
        <f t="shared" si="12"/>
        <v>179.54157603439049</v>
      </c>
      <c r="V32" s="143">
        <f t="shared" si="3"/>
        <v>171.16568672497115</v>
      </c>
      <c r="W32" s="143">
        <f t="shared" si="4"/>
        <v>96.616510311516222</v>
      </c>
      <c r="X32" s="3">
        <f t="shared" si="9"/>
        <v>232.11441678010803</v>
      </c>
      <c r="AB32" s="148"/>
      <c r="AC32" s="148"/>
    </row>
    <row r="33" spans="1:29" x14ac:dyDescent="0.25">
      <c r="A33">
        <v>51</v>
      </c>
      <c r="B33">
        <v>22</v>
      </c>
      <c r="C33" s="137">
        <f>TUM!C25</f>
        <v>5.8385840569370583E-3</v>
      </c>
      <c r="D33">
        <f t="shared" si="0"/>
        <v>0.99416141594306295</v>
      </c>
      <c r="E33" s="195">
        <f>'All bonds'!E26</f>
        <v>2.7274420694849604</v>
      </c>
      <c r="F33" s="195">
        <f t="shared" si="10"/>
        <v>2.8154880487968583</v>
      </c>
      <c r="G33" s="138">
        <f t="shared" si="5"/>
        <v>0.54879119034004287</v>
      </c>
      <c r="H33" s="115">
        <f>PRODUCT($D$12:D33)</f>
        <v>0.94778226433062707</v>
      </c>
      <c r="I33" s="115">
        <f t="shared" si="14"/>
        <v>0.52013455702518596</v>
      </c>
      <c r="J33" s="139">
        <f>$C$6*SUM(I32:$I$50)/(G32*H32)</f>
        <v>1419.8383794468616</v>
      </c>
      <c r="K33" s="140">
        <f t="shared" si="13"/>
        <v>5.5662051747594754E-3</v>
      </c>
      <c r="L33" s="115">
        <f t="shared" si="15"/>
        <v>3.0546843635331587E-3</v>
      </c>
      <c r="M33" s="141">
        <f t="shared" si="11"/>
        <v>4541.8566981618696</v>
      </c>
      <c r="N33" s="141">
        <f t="shared" si="6"/>
        <v>3122.0183187150078</v>
      </c>
      <c r="O33" s="144">
        <v>0</v>
      </c>
      <c r="P33" s="143">
        <v>0</v>
      </c>
      <c r="Q33" s="144">
        <f t="shared" si="1"/>
        <v>3.0313326877958424</v>
      </c>
      <c r="R33" s="144">
        <f t="shared" si="2"/>
        <v>6.2440366374300158</v>
      </c>
      <c r="S33" s="144">
        <f t="shared" si="7"/>
        <v>102.41747292938365</v>
      </c>
      <c r="T33" s="144">
        <f t="shared" si="8"/>
        <v>90.5224574400427</v>
      </c>
      <c r="U33" s="145">
        <f t="shared" si="12"/>
        <v>183.6645610442005</v>
      </c>
      <c r="V33" s="143">
        <f t="shared" si="3"/>
        <v>174.07401354376302</v>
      </c>
      <c r="W33" s="143">
        <f t="shared" si="4"/>
        <v>95.530285099950447</v>
      </c>
      <c r="X33" s="3">
        <f t="shared" si="9"/>
        <v>239.50724584174483</v>
      </c>
      <c r="AB33" s="148"/>
      <c r="AC33" s="148"/>
    </row>
    <row r="34" spans="1:29" x14ac:dyDescent="0.25">
      <c r="A34">
        <v>52</v>
      </c>
      <c r="B34">
        <v>23</v>
      </c>
      <c r="C34" s="137">
        <f>TUM!C26</f>
        <v>6.3944107580785536E-3</v>
      </c>
      <c r="D34">
        <f t="shared" si="0"/>
        <v>0.99360558924192144</v>
      </c>
      <c r="E34" s="195">
        <f>'All bonds'!E27</f>
        <v>2.729596837035039</v>
      </c>
      <c r="F34" s="195">
        <f t="shared" si="10"/>
        <v>2.7770017231367703</v>
      </c>
      <c r="G34" s="138">
        <f t="shared" si="5"/>
        <v>0.53376091098698419</v>
      </c>
      <c r="H34" s="115">
        <f>PRODUCT($D$12:D34)</f>
        <v>0.94172175522327528</v>
      </c>
      <c r="I34" s="115">
        <f t="shared" si="14"/>
        <v>0.50265426196423713</v>
      </c>
      <c r="J34" s="139">
        <f>$C$6*SUM(I33:$I$50)/(G33*H33)</f>
        <v>1362.9978050616714</v>
      </c>
      <c r="K34" s="140">
        <f t="shared" si="13"/>
        <v>6.0605091073517858E-3</v>
      </c>
      <c r="L34" s="115">
        <f t="shared" si="15"/>
        <v>3.2348628621850038E-3</v>
      </c>
      <c r="M34" s="141">
        <f t="shared" si="11"/>
        <v>4698.9847207325683</v>
      </c>
      <c r="N34" s="141">
        <f t="shared" si="6"/>
        <v>3335.9869156708969</v>
      </c>
      <c r="O34" s="144">
        <v>0</v>
      </c>
      <c r="P34" s="143">
        <v>0</v>
      </c>
      <c r="Q34" s="144">
        <f t="shared" si="1"/>
        <v>3.0919593415517594</v>
      </c>
      <c r="R34" s="144">
        <f t="shared" si="2"/>
        <v>6.671973831341794</v>
      </c>
      <c r="S34" s="144">
        <f t="shared" si="7"/>
        <v>102.41747292938365</v>
      </c>
      <c r="T34" s="144">
        <f t="shared" si="8"/>
        <v>95.213404527382949</v>
      </c>
      <c r="U34" s="145">
        <f t="shared" si="12"/>
        <v>187.86694428387304</v>
      </c>
      <c r="V34" s="143">
        <f t="shared" si="3"/>
        <v>176.91838851944217</v>
      </c>
      <c r="W34" s="143">
        <f t="shared" si="4"/>
        <v>94.43212022648666</v>
      </c>
      <c r="X34" s="3">
        <f t="shared" si="9"/>
        <v>246.97727469161933</v>
      </c>
      <c r="AB34" s="148"/>
      <c r="AC34" s="148"/>
    </row>
    <row r="35" spans="1:29" x14ac:dyDescent="0.25">
      <c r="A35">
        <v>53</v>
      </c>
      <c r="B35">
        <v>24</v>
      </c>
      <c r="C35" s="137">
        <f>TUM!C27</f>
        <v>6.9856464825959509E-3</v>
      </c>
      <c r="D35">
        <f t="shared" si="0"/>
        <v>0.99301435351740408</v>
      </c>
      <c r="E35" s="195">
        <f>'All bonds'!E28</f>
        <v>2.7300490600292013</v>
      </c>
      <c r="F35" s="195">
        <f t="shared" si="10"/>
        <v>2.7404501888949255</v>
      </c>
      <c r="G35" s="138">
        <f t="shared" si="5"/>
        <v>0.51933206969951895</v>
      </c>
      <c r="H35" s="115">
        <f>PRODUCT($D$12:D35)</f>
        <v>0.93514321995631577</v>
      </c>
      <c r="I35" s="115">
        <f t="shared" si="14"/>
        <v>0.48564986388538595</v>
      </c>
      <c r="J35" s="139">
        <f>$C$6*SUM(I34:$I$50)/(G34*H34)</f>
        <v>1304.4182498047512</v>
      </c>
      <c r="K35" s="140">
        <f t="shared" si="13"/>
        <v>6.5785352669595065E-3</v>
      </c>
      <c r="L35" s="115">
        <f t="shared" si="15"/>
        <v>3.4164443357813578E-3</v>
      </c>
      <c r="M35" s="141">
        <f t="shared" si="11"/>
        <v>4862.3965240749212</v>
      </c>
      <c r="N35" s="141">
        <f t="shared" si="6"/>
        <v>3557.97827427017</v>
      </c>
      <c r="O35" s="144">
        <v>0</v>
      </c>
      <c r="P35" s="143">
        <v>0</v>
      </c>
      <c r="Q35" s="144">
        <f t="shared" si="1"/>
        <v>3.1537985283827941</v>
      </c>
      <c r="R35" s="144">
        <f t="shared" si="2"/>
        <v>7.11595654854034</v>
      </c>
      <c r="S35" s="144">
        <f t="shared" si="7"/>
        <v>102.41747292938365</v>
      </c>
      <c r="T35" s="144">
        <f t="shared" si="8"/>
        <v>100.02988464602741</v>
      </c>
      <c r="U35" s="145">
        <f t="shared" si="12"/>
        <v>192.17760249848791</v>
      </c>
      <c r="V35" s="143">
        <f t="shared" si="3"/>
        <v>179.71358200392089</v>
      </c>
      <c r="W35" s="143">
        <f t="shared" si="4"/>
        <v>93.331026495210452</v>
      </c>
      <c r="X35" s="3">
        <f t="shared" si="9"/>
        <v>254.54479730591515</v>
      </c>
      <c r="AB35" s="148"/>
      <c r="AC35" s="148"/>
    </row>
    <row r="36" spans="1:29" x14ac:dyDescent="0.25">
      <c r="A36">
        <v>54</v>
      </c>
      <c r="B36">
        <v>25</v>
      </c>
      <c r="C36" s="137">
        <f>TUM!C28</f>
        <v>7.9751758402779125E-3</v>
      </c>
      <c r="D36">
        <f t="shared" si="0"/>
        <v>0.99202482415972204</v>
      </c>
      <c r="E36" s="195">
        <f>'All bonds'!E29</f>
        <v>2.7290874700094365</v>
      </c>
      <c r="F36" s="195">
        <f t="shared" si="10"/>
        <v>2.7060093095350908</v>
      </c>
      <c r="G36" s="138">
        <f t="shared" si="5"/>
        <v>0.50546733211685646</v>
      </c>
      <c r="H36" s="115">
        <f>PRODUCT($D$12:D36)</f>
        <v>0.92768528834132047</v>
      </c>
      <c r="I36" s="115">
        <f t="shared" si="14"/>
        <v>0.46891460774194399</v>
      </c>
      <c r="J36" s="139">
        <f>$C$6*SUM(I35:$I$50)/(G35*H35)</f>
        <v>1244.087270089954</v>
      </c>
      <c r="K36" s="140">
        <f t="shared" si="13"/>
        <v>7.4579316149953057E-3</v>
      </c>
      <c r="L36" s="115">
        <f t="shared" si="15"/>
        <v>3.7697407965416358E-3</v>
      </c>
      <c r="M36" s="141">
        <f t="shared" si="11"/>
        <v>5032.6470116403943</v>
      </c>
      <c r="N36" s="141">
        <f t="shared" si="6"/>
        <v>3788.5597415504403</v>
      </c>
      <c r="O36" s="144">
        <v>0</v>
      </c>
      <c r="P36" s="143">
        <v>0</v>
      </c>
      <c r="Q36" s="144">
        <f t="shared" si="1"/>
        <v>3.2168744989504501</v>
      </c>
      <c r="R36" s="144">
        <f t="shared" si="2"/>
        <v>7.5771194831008808</v>
      </c>
      <c r="S36" s="144">
        <f t="shared" si="7"/>
        <v>102.41747292938365</v>
      </c>
      <c r="T36" s="144">
        <f t="shared" si="8"/>
        <v>104.99811917368822</v>
      </c>
      <c r="U36" s="145">
        <f t="shared" si="12"/>
        <v>196.62159812102053</v>
      </c>
      <c r="V36" s="143">
        <f t="shared" si="3"/>
        <v>182.40296394703017</v>
      </c>
      <c r="W36" s="143">
        <f t="shared" si="4"/>
        <v>92.198739556512493</v>
      </c>
      <c r="X36" s="3">
        <f t="shared" si="9"/>
        <v>262.12866795854933</v>
      </c>
      <c r="AB36" s="148"/>
      <c r="AC36" s="148"/>
    </row>
    <row r="37" spans="1:29" x14ac:dyDescent="0.25">
      <c r="A37">
        <v>55</v>
      </c>
      <c r="B37">
        <v>26</v>
      </c>
      <c r="C37" s="137">
        <f>TUM!C29</f>
        <v>8.9823729596385515E-3</v>
      </c>
      <c r="D37">
        <f t="shared" si="0"/>
        <v>0.99101762704036145</v>
      </c>
      <c r="E37" s="195">
        <f>'All bonds'!E30</f>
        <v>2.7269599760752272</v>
      </c>
      <c r="F37" s="195">
        <f t="shared" si="10"/>
        <v>2.6737726277199982</v>
      </c>
      <c r="G37" s="138">
        <f t="shared" si="5"/>
        <v>0.49213136613999703</v>
      </c>
      <c r="H37" s="115">
        <f>PRODUCT($D$12:D37)</f>
        <v>0.91935247309226886</v>
      </c>
      <c r="I37" s="115">
        <f t="shared" si="14"/>
        <v>0.45244218854708312</v>
      </c>
      <c r="J37" s="139">
        <f>$C$6*SUM(I36:$I$50)/(G36*H36)</f>
        <v>1182.4152466971482</v>
      </c>
      <c r="K37" s="140">
        <f t="shared" si="13"/>
        <v>8.3328152490516061E-3</v>
      </c>
      <c r="L37" s="115">
        <f t="shared" si="15"/>
        <v>4.1008397523079661E-3</v>
      </c>
      <c r="M37" s="141">
        <f t="shared" si="11"/>
        <v>5212.2588971069254</v>
      </c>
      <c r="N37" s="141">
        <f t="shared" si="6"/>
        <v>4029.8436504097772</v>
      </c>
      <c r="O37" s="144">
        <v>0</v>
      </c>
      <c r="P37" s="143">
        <v>0</v>
      </c>
      <c r="Q37" s="144">
        <f t="shared" si="1"/>
        <v>3.2812119889294591</v>
      </c>
      <c r="R37" s="144">
        <f t="shared" si="2"/>
        <v>8.0596873008195544</v>
      </c>
      <c r="S37" s="144">
        <f t="shared" si="7"/>
        <v>102.41747292938365</v>
      </c>
      <c r="T37" s="144">
        <f t="shared" si="8"/>
        <v>110.18403696081079</v>
      </c>
      <c r="U37" s="145">
        <f t="shared" si="12"/>
        <v>201.26061060044543</v>
      </c>
      <c r="V37" s="143">
        <f t="shared" si="3"/>
        <v>185.0294400915796</v>
      </c>
      <c r="W37" s="143">
        <f t="shared" si="4"/>
        <v>91.05879112838781</v>
      </c>
      <c r="X37" s="3">
        <f t="shared" si="9"/>
        <v>269.78808739212536</v>
      </c>
      <c r="AB37" s="148"/>
      <c r="AC37" s="148"/>
    </row>
    <row r="38" spans="1:29" x14ac:dyDescent="0.25">
      <c r="A38">
        <v>56</v>
      </c>
      <c r="B38">
        <v>27</v>
      </c>
      <c r="C38" s="137">
        <f>TUM!C30</f>
        <v>9.8472600277920534E-3</v>
      </c>
      <c r="D38">
        <f t="shared" si="0"/>
        <v>0.99015273997220798</v>
      </c>
      <c r="E38" s="195">
        <f>'All bonds'!E31</f>
        <v>2.7238788780655168</v>
      </c>
      <c r="F38" s="195">
        <f t="shared" si="10"/>
        <v>2.6437703298130373</v>
      </c>
      <c r="G38" s="138">
        <f t="shared" si="5"/>
        <v>0.47929102554565678</v>
      </c>
      <c r="H38" s="115">
        <f>PRODUCT($D$12:D38)</f>
        <v>0.9102993702325356</v>
      </c>
      <c r="I38" s="115">
        <f t="shared" si="14"/>
        <v>0.4362983187123175</v>
      </c>
      <c r="J38" s="139">
        <f>$C$6*SUM(I37:$I$50)/(G37*H37)</f>
        <v>1119.3181035454722</v>
      </c>
      <c r="K38" s="140">
        <f t="shared" si="13"/>
        <v>9.0531028597332641E-3</v>
      </c>
      <c r="L38" s="115">
        <f t="shared" si="15"/>
        <v>4.3390709540118743E-3</v>
      </c>
      <c r="M38" s="141">
        <f t="shared" si="11"/>
        <v>5402.0257130199243</v>
      </c>
      <c r="N38" s="141">
        <f t="shared" si="6"/>
        <v>4282.7076094744516</v>
      </c>
      <c r="O38" s="144">
        <v>0</v>
      </c>
      <c r="P38" s="143">
        <v>0</v>
      </c>
      <c r="Q38" s="144">
        <f t="shared" si="1"/>
        <v>3.3468362287080486</v>
      </c>
      <c r="R38" s="144">
        <f t="shared" si="2"/>
        <v>8.5654152189489032</v>
      </c>
      <c r="S38" s="144">
        <f t="shared" si="7"/>
        <v>102.41747292938365</v>
      </c>
      <c r="T38" s="144">
        <f t="shared" si="8"/>
        <v>115.61770328439623</v>
      </c>
      <c r="U38" s="145">
        <f t="shared" si="12"/>
        <v>206.12292476612294</v>
      </c>
      <c r="V38" s="143">
        <f t="shared" si="3"/>
        <v>187.63356860509003</v>
      </c>
      <c r="W38" s="143">
        <f t="shared" si="4"/>
        <v>89.931085523524956</v>
      </c>
      <c r="X38" s="3">
        <f t="shared" si="9"/>
        <v>277.58230537871526</v>
      </c>
      <c r="AB38" s="148"/>
      <c r="AC38" s="148"/>
    </row>
    <row r="39" spans="1:29" x14ac:dyDescent="0.25">
      <c r="A39">
        <v>57</v>
      </c>
      <c r="B39">
        <v>28</v>
      </c>
      <c r="C39" s="137">
        <f>TUM!C31</f>
        <v>1.062509620253387E-2</v>
      </c>
      <c r="D39">
        <f t="shared" si="0"/>
        <v>0.98937490379746618</v>
      </c>
      <c r="E39" s="195">
        <f>'All bonds'!E32</f>
        <v>2.7200255109193021</v>
      </c>
      <c r="F39" s="195">
        <f t="shared" si="10"/>
        <v>2.6159845979715044</v>
      </c>
      <c r="G39" s="138">
        <f t="shared" si="5"/>
        <v>0.46691542380500017</v>
      </c>
      <c r="H39" s="115">
        <f>PRODUCT($D$12:D39)</f>
        <v>0.90062735185070897</v>
      </c>
      <c r="I39" s="115">
        <f t="shared" si="14"/>
        <v>0.42051680167974881</v>
      </c>
      <c r="J39" s="139">
        <f>$C$6*SUM(I38:$I$50)/(G38*H38)</f>
        <v>1054.5278932285348</v>
      </c>
      <c r="K39" s="140">
        <f t="shared" si="13"/>
        <v>9.6720183818266303E-3</v>
      </c>
      <c r="L39" s="115">
        <f t="shared" si="15"/>
        <v>4.5160145618003333E-3</v>
      </c>
      <c r="M39" s="141">
        <f t="shared" si="11"/>
        <v>5601.9109663310974</v>
      </c>
      <c r="N39" s="141">
        <f t="shared" si="6"/>
        <v>4547.3830731025628</v>
      </c>
      <c r="O39" s="144">
        <v>0</v>
      </c>
      <c r="P39" s="143">
        <v>0</v>
      </c>
      <c r="Q39" s="144">
        <f t="shared" si="1"/>
        <v>3.413772953282209</v>
      </c>
      <c r="R39" s="144">
        <f t="shared" si="2"/>
        <v>9.0947661462051261</v>
      </c>
      <c r="S39" s="144">
        <f t="shared" si="7"/>
        <v>102.41747292938365</v>
      </c>
      <c r="T39" s="144">
        <f t="shared" si="8"/>
        <v>121.31084466431679</v>
      </c>
      <c r="U39" s="145">
        <f t="shared" si="12"/>
        <v>211.2197784942131</v>
      </c>
      <c r="V39" s="143">
        <f t="shared" si="3"/>
        <v>190.23030976373647</v>
      </c>
      <c r="W39" s="143">
        <f t="shared" si="4"/>
        <v>88.821465703891477</v>
      </c>
      <c r="X39" s="3">
        <f t="shared" si="9"/>
        <v>285.53559816716825</v>
      </c>
      <c r="AB39" s="148"/>
      <c r="AC39" s="148"/>
    </row>
    <row r="40" spans="1:29" x14ac:dyDescent="0.25">
      <c r="A40">
        <v>58</v>
      </c>
      <c r="B40">
        <v>29</v>
      </c>
      <c r="C40" s="137">
        <f>TUM!C32</f>
        <v>1.1532022872793221E-2</v>
      </c>
      <c r="D40">
        <f t="shared" si="0"/>
        <v>0.9884679771272068</v>
      </c>
      <c r="E40" s="195">
        <f>'All bonds'!E33</f>
        <v>2.7155543546283001</v>
      </c>
      <c r="F40" s="195">
        <f t="shared" si="10"/>
        <v>2.5903619784802459</v>
      </c>
      <c r="G40" s="138">
        <f t="shared" si="5"/>
        <v>0.45497592985768037</v>
      </c>
      <c r="H40" s="115">
        <f>PRODUCT($D$12:D40)</f>
        <v>0.8902412966293034</v>
      </c>
      <c r="I40" s="115">
        <f t="shared" si="14"/>
        <v>0.40503836173162439</v>
      </c>
      <c r="J40" s="139">
        <f>$C$6*SUM(I39:$I$50)/(G39*H39)</f>
        <v>987.84204090222102</v>
      </c>
      <c r="K40" s="140">
        <f t="shared" si="13"/>
        <v>1.0386055221405566E-2</v>
      </c>
      <c r="L40" s="115">
        <f t="shared" si="15"/>
        <v>4.725405131912214E-3</v>
      </c>
      <c r="M40" s="141">
        <f t="shared" si="11"/>
        <v>5812.1443101046361</v>
      </c>
      <c r="N40" s="141">
        <f t="shared" si="6"/>
        <v>4824.3022692024151</v>
      </c>
      <c r="O40" s="144">
        <v>0</v>
      </c>
      <c r="P40" s="143">
        <v>0</v>
      </c>
      <c r="Q40" s="144">
        <f t="shared" si="1"/>
        <v>3.4820484123478539</v>
      </c>
      <c r="R40" s="144">
        <f t="shared" si="2"/>
        <v>9.6486045384048307</v>
      </c>
      <c r="S40" s="144">
        <f t="shared" si="7"/>
        <v>102.41747292938365</v>
      </c>
      <c r="T40" s="144">
        <f t="shared" si="8"/>
        <v>127.27974354489966</v>
      </c>
      <c r="U40" s="145">
        <f t="shared" si="12"/>
        <v>216.56656352353062</v>
      </c>
      <c r="V40" s="143">
        <f t="shared" si="3"/>
        <v>192.79649831774029</v>
      </c>
      <c r="W40" s="143">
        <f t="shared" si="4"/>
        <v>87.717766095418597</v>
      </c>
      <c r="X40" s="3">
        <f t="shared" si="9"/>
        <v>293.61550921374231</v>
      </c>
      <c r="AB40" s="148"/>
      <c r="AC40" s="148"/>
    </row>
    <row r="41" spans="1:29" x14ac:dyDescent="0.25">
      <c r="A41">
        <v>59</v>
      </c>
      <c r="B41">
        <v>30</v>
      </c>
      <c r="C41" s="137">
        <f>TUM!C33</f>
        <v>1.282132401342323E-2</v>
      </c>
      <c r="D41">
        <f t="shared" si="0"/>
        <v>0.98717867598657683</v>
      </c>
      <c r="E41" s="195">
        <f>'All bonds'!E34</f>
        <v>2.7105966525155396</v>
      </c>
      <c r="F41" s="195">
        <f t="shared" si="10"/>
        <v>2.566823291245484</v>
      </c>
      <c r="G41" s="138">
        <f t="shared" si="5"/>
        <v>0.44344610980981691</v>
      </c>
      <c r="H41" s="115">
        <f>PRODUCT($D$12:D41)</f>
        <v>0.8788272245150891</v>
      </c>
      <c r="I41" s="115">
        <f t="shared" si="14"/>
        <v>0.38971251390617484</v>
      </c>
      <c r="J41" s="139">
        <f>$C$6*SUM(I40:$I$50)/(G40*H40)</f>
        <v>919.2608469498947</v>
      </c>
      <c r="K41" s="140">
        <f t="shared" si="13"/>
        <v>1.1414072114214302E-2</v>
      </c>
      <c r="L41" s="115">
        <f t="shared" si="15"/>
        <v>5.0615258761370447E-3</v>
      </c>
      <c r="M41" s="141">
        <f t="shared" si="11"/>
        <v>6034.2539549520452</v>
      </c>
      <c r="N41" s="141">
        <f t="shared" si="6"/>
        <v>5114.9931080021506</v>
      </c>
      <c r="O41" s="144">
        <v>0</v>
      </c>
      <c r="P41" s="143">
        <v>0</v>
      </c>
      <c r="Q41" s="144">
        <f t="shared" si="1"/>
        <v>3.5516893805948104</v>
      </c>
      <c r="R41" s="144">
        <f t="shared" si="2"/>
        <v>10.229986216004301</v>
      </c>
      <c r="S41" s="144">
        <f t="shared" si="7"/>
        <v>102.41747292938365</v>
      </c>
      <c r="T41" s="144">
        <f t="shared" si="8"/>
        <v>133.56795873211951</v>
      </c>
      <c r="U41" s="145">
        <f t="shared" si="12"/>
        <v>222.20375606490404</v>
      </c>
      <c r="V41" s="143">
        <f t="shared" si="3"/>
        <v>195.27871021934752</v>
      </c>
      <c r="W41" s="143">
        <f t="shared" si="4"/>
        <v>86.595584375448198</v>
      </c>
      <c r="X41" s="3">
        <f t="shared" si="9"/>
        <v>301.74081106657485</v>
      </c>
      <c r="AB41" s="148"/>
      <c r="AC41" s="148"/>
    </row>
    <row r="42" spans="1:29" x14ac:dyDescent="0.25">
      <c r="A42">
        <v>60</v>
      </c>
      <c r="B42">
        <v>31</v>
      </c>
      <c r="C42" s="137">
        <f>TUM!C34</f>
        <v>1.3993820694014239E-2</v>
      </c>
      <c r="D42">
        <f t="shared" si="0"/>
        <v>0.98600617930598577</v>
      </c>
      <c r="E42" s="195">
        <f>'All bonds'!E35</f>
        <v>2.7052635836649879</v>
      </c>
      <c r="F42" s="195">
        <f t="shared" si="10"/>
        <v>2.5452715181484393</v>
      </c>
      <c r="G42" s="138">
        <f t="shared" si="5"/>
        <v>0.43230163252887305</v>
      </c>
      <c r="H42" s="115">
        <f>PRODUCT($D$12:D42)</f>
        <v>0.86652907391420675</v>
      </c>
      <c r="I42" s="115">
        <f t="shared" si="14"/>
        <v>0.3746019332868441</v>
      </c>
      <c r="J42" s="139">
        <f>$C$6*SUM(I41:$I$50)/(G41*H41)</f>
        <v>848.96658485094167</v>
      </c>
      <c r="K42" s="140">
        <f t="shared" si="13"/>
        <v>1.2298150600882352E-2</v>
      </c>
      <c r="L42" s="115">
        <f t="shared" si="15"/>
        <v>5.3165105818473819E-3</v>
      </c>
      <c r="M42" s="141">
        <f t="shared" si="11"/>
        <v>6271.5572350719576</v>
      </c>
      <c r="N42" s="141">
        <f t="shared" si="6"/>
        <v>5422.5906502210164</v>
      </c>
      <c r="O42" s="144">
        <v>0</v>
      </c>
      <c r="P42" s="143">
        <v>0</v>
      </c>
      <c r="Q42" s="144">
        <f t="shared" si="1"/>
        <v>3.6227231682067069</v>
      </c>
      <c r="R42" s="144">
        <f t="shared" si="2"/>
        <v>10.845181300442032</v>
      </c>
      <c r="S42" s="144">
        <f t="shared" si="7"/>
        <v>102.41747292938365</v>
      </c>
      <c r="T42" s="144">
        <f t="shared" si="8"/>
        <v>140.25821068222135</v>
      </c>
      <c r="U42" s="145">
        <f t="shared" si="12"/>
        <v>228.20777914295627</v>
      </c>
      <c r="V42" s="143">
        <f t="shared" si="3"/>
        <v>197.74867552076373</v>
      </c>
      <c r="W42" s="143">
        <f t="shared" si="4"/>
        <v>85.487075258048549</v>
      </c>
      <c r="X42" s="3">
        <f t="shared" si="9"/>
        <v>310.02166470078777</v>
      </c>
      <c r="AB42" s="148"/>
      <c r="AC42" s="148"/>
    </row>
    <row r="43" spans="1:29" x14ac:dyDescent="0.25">
      <c r="A43">
        <v>61</v>
      </c>
      <c r="B43">
        <v>32</v>
      </c>
      <c r="C43" s="137">
        <f>TUM!C35</f>
        <v>1.5789362132141549E-2</v>
      </c>
      <c r="D43">
        <f t="shared" si="0"/>
        <v>0.98421063786785845</v>
      </c>
      <c r="E43" s="195">
        <f>'All bonds'!E36</f>
        <v>2.6996490352598093</v>
      </c>
      <c r="F43" s="195">
        <f t="shared" si="10"/>
        <v>2.5255980346992715</v>
      </c>
      <c r="G43" s="138">
        <f t="shared" si="5"/>
        <v>0.42152015250510699</v>
      </c>
      <c r="H43" s="115">
        <f>PRODUCT($D$12:D43)</f>
        <v>0.85284713256814604</v>
      </c>
      <c r="I43" s="115">
        <f t="shared" si="14"/>
        <v>0.35949225338366814</v>
      </c>
      <c r="J43" s="139">
        <f>$C$6*SUM(I42:$I$50)/(G42*H42)</f>
        <v>776.66318646196453</v>
      </c>
      <c r="K43" s="140">
        <f t="shared" si="13"/>
        <v>1.3681941346060711E-2</v>
      </c>
      <c r="L43" s="115">
        <f t="shared" si="15"/>
        <v>5.7672140027574398E-3</v>
      </c>
      <c r="M43" s="141">
        <f t="shared" si="11"/>
        <v>6524.5374329523993</v>
      </c>
      <c r="N43" s="141">
        <f t="shared" si="6"/>
        <v>5747.8742464904344</v>
      </c>
      <c r="O43" s="144">
        <v>0</v>
      </c>
      <c r="P43" s="143">
        <v>0</v>
      </c>
      <c r="Q43" s="144">
        <f t="shared" si="1"/>
        <v>3.6951776315708402</v>
      </c>
      <c r="R43" s="144">
        <f t="shared" si="2"/>
        <v>11.495748492980869</v>
      </c>
      <c r="S43" s="144">
        <f t="shared" si="7"/>
        <v>102.41747292938365</v>
      </c>
      <c r="T43" s="144">
        <f t="shared" si="8"/>
        <v>147.37119095818684</v>
      </c>
      <c r="U43" s="145">
        <f t="shared" si="12"/>
        <v>234.59773776301878</v>
      </c>
      <c r="V43" s="143">
        <f t="shared" si="3"/>
        <v>200.07600795816444</v>
      </c>
      <c r="W43" s="143">
        <f t="shared" si="4"/>
        <v>84.33606938713848</v>
      </c>
      <c r="X43" s="3">
        <f t="shared" si="9"/>
        <v>318.25320008244699</v>
      </c>
      <c r="AB43" s="148"/>
      <c r="AC43" s="148"/>
    </row>
    <row r="44" spans="1:29" x14ac:dyDescent="0.25">
      <c r="A44">
        <v>62</v>
      </c>
      <c r="B44">
        <v>33</v>
      </c>
      <c r="C44" s="137">
        <f>TUM!C36</f>
        <v>1.7491725665991654E-2</v>
      </c>
      <c r="D44">
        <f t="shared" si="0"/>
        <v>0.98250827433400834</v>
      </c>
      <c r="E44" s="195">
        <f>'All bonds'!E37</f>
        <v>2.6938320186748927</v>
      </c>
      <c r="F44" s="195">
        <f t="shared" si="10"/>
        <v>2.5076874879575684</v>
      </c>
      <c r="G44" s="138">
        <f t="shared" si="5"/>
        <v>0.4110811798270062</v>
      </c>
      <c r="H44" s="115">
        <f>PRODUCT($D$12:D44)</f>
        <v>0.83792936449023636</v>
      </c>
      <c r="I44" s="115">
        <f t="shared" si="14"/>
        <v>0.34445699176633987</v>
      </c>
      <c r="J44" s="139">
        <f>$C$6*SUM(I43:$I$50)/(G43*H43)</f>
        <v>702.58467441887592</v>
      </c>
      <c r="K44" s="140">
        <f t="shared" si="13"/>
        <v>1.4917768077909677E-2</v>
      </c>
      <c r="L44" s="115">
        <f t="shared" si="15"/>
        <v>6.1324137018527606E-3</v>
      </c>
      <c r="M44" s="141">
        <f t="shared" si="11"/>
        <v>6798.7677430642188</v>
      </c>
      <c r="N44" s="141">
        <f t="shared" si="6"/>
        <v>6096.1830686453432</v>
      </c>
      <c r="O44" s="144">
        <v>0</v>
      </c>
      <c r="P44" s="143">
        <v>0</v>
      </c>
      <c r="Q44" s="144">
        <f t="shared" si="1"/>
        <v>3.7690811842022578</v>
      </c>
      <c r="R44" s="144">
        <f t="shared" si="2"/>
        <v>12.192366137290687</v>
      </c>
      <c r="S44" s="144">
        <f t="shared" si="7"/>
        <v>102.41747292938365</v>
      </c>
      <c r="T44" s="144">
        <f t="shared" si="8"/>
        <v>155.04126699216147</v>
      </c>
      <c r="U44" s="145">
        <f t="shared" si="12"/>
        <v>241.49729260005213</v>
      </c>
      <c r="V44" s="143">
        <f t="shared" si="3"/>
        <v>202.35767291447434</v>
      </c>
      <c r="W44" s="143">
        <f t="shared" si="4"/>
        <v>83.185430928729531</v>
      </c>
      <c r="X44" s="3">
        <f t="shared" si="9"/>
        <v>326.5853862133153</v>
      </c>
      <c r="AB44" s="148"/>
      <c r="AC44" s="148"/>
    </row>
    <row r="45" spans="1:29" x14ac:dyDescent="0.25">
      <c r="A45">
        <v>63</v>
      </c>
      <c r="B45">
        <v>34</v>
      </c>
      <c r="C45" s="137">
        <f>TUM!C37</f>
        <v>1.921968630142732E-2</v>
      </c>
      <c r="D45">
        <f t="shared" si="0"/>
        <v>0.98078031369857266</v>
      </c>
      <c r="E45" s="195">
        <f>'All bonds'!E38</f>
        <v>2.6878787702479112</v>
      </c>
      <c r="F45" s="195">
        <f t="shared" si="10"/>
        <v>2.4914215721575204</v>
      </c>
      <c r="G45" s="138">
        <f t="shared" si="5"/>
        <v>0.40096594443249622</v>
      </c>
      <c r="H45" s="115">
        <f>PRODUCT($D$12:D45)</f>
        <v>0.82182462496197961</v>
      </c>
      <c r="I45" s="115">
        <f t="shared" si="14"/>
        <v>0.32952368690576217</v>
      </c>
      <c r="J45" s="139">
        <f>$C$6*SUM(I44:$I$50)/(G44*H44)</f>
        <v>626.36400139261468</v>
      </c>
      <c r="K45" s="140">
        <f t="shared" si="13"/>
        <v>1.6104739528256751E-2</v>
      </c>
      <c r="L45" s="115">
        <f t="shared" si="15"/>
        <v>6.4574520947868214E-3</v>
      </c>
      <c r="M45" s="141">
        <f t="shared" si="11"/>
        <v>7095.5283086380023</v>
      </c>
      <c r="N45" s="141">
        <f t="shared" si="6"/>
        <v>6469.164307245388</v>
      </c>
      <c r="O45" s="144">
        <v>0</v>
      </c>
      <c r="P45" s="143">
        <v>0</v>
      </c>
      <c r="Q45" s="144">
        <f t="shared" si="1"/>
        <v>3.8444628078863032</v>
      </c>
      <c r="R45" s="144">
        <f t="shared" si="2"/>
        <v>12.938328614490777</v>
      </c>
      <c r="S45" s="144">
        <f t="shared" si="7"/>
        <v>102.41747292938365</v>
      </c>
      <c r="T45" s="144">
        <f t="shared" si="8"/>
        <v>163.30767601734016</v>
      </c>
      <c r="U45" s="145">
        <f t="shared" si="12"/>
        <v>248.94235752434673</v>
      </c>
      <c r="V45" s="143">
        <f t="shared" si="3"/>
        <v>204.5869596095973</v>
      </c>
      <c r="W45" s="143">
        <f t="shared" si="4"/>
        <v>82.032403478435143</v>
      </c>
      <c r="X45" s="3">
        <f t="shared" si="9"/>
        <v>335.00734144991372</v>
      </c>
      <c r="AB45" s="148"/>
      <c r="AC45" s="148"/>
    </row>
    <row r="46" spans="1:29" x14ac:dyDescent="0.25">
      <c r="A46">
        <v>64</v>
      </c>
      <c r="B46">
        <v>35</v>
      </c>
      <c r="C46" s="137">
        <f>TUM!C38</f>
        <v>2.0487828410334794E-2</v>
      </c>
      <c r="D46">
        <f t="shared" si="0"/>
        <v>0.97951217158966519</v>
      </c>
      <c r="E46" s="195">
        <f>'All bonds'!E39</f>
        <v>2.6818445742500954</v>
      </c>
      <c r="F46" s="195">
        <f t="shared" si="10"/>
        <v>2.4766819103243591</v>
      </c>
      <c r="G46" s="138">
        <f t="shared" si="5"/>
        <v>0.39115725975798338</v>
      </c>
      <c r="H46" s="115">
        <f>PRODUCT($D$12:D46)</f>
        <v>0.8049872230623708</v>
      </c>
      <c r="I46" s="115">
        <f t="shared" si="14"/>
        <v>0.31487659631326548</v>
      </c>
      <c r="J46" s="139">
        <f>$C$6*SUM(I45:$I$50)/(G45*H45)</f>
        <v>547.69065840318399</v>
      </c>
      <c r="K46" s="140">
        <f t="shared" si="13"/>
        <v>1.6837401899608806E-2</v>
      </c>
      <c r="L46" s="115">
        <f t="shared" si="15"/>
        <v>6.5860719884948448E-3</v>
      </c>
      <c r="M46" s="141">
        <f t="shared" si="11"/>
        <v>7417.0823928821892</v>
      </c>
      <c r="N46" s="141">
        <f t="shared" si="6"/>
        <v>6869.3917344790052</v>
      </c>
      <c r="O46" s="144">
        <v>0</v>
      </c>
      <c r="P46" s="143">
        <v>0</v>
      </c>
      <c r="Q46" s="144">
        <f t="shared" si="1"/>
        <v>3.9213520640440289</v>
      </c>
      <c r="R46" s="144">
        <f t="shared" si="2"/>
        <v>13.73878346895801</v>
      </c>
      <c r="S46" s="144">
        <f t="shared" si="7"/>
        <v>102.41747292938365</v>
      </c>
      <c r="T46" s="144">
        <f t="shared" si="8"/>
        <v>172.23215208012701</v>
      </c>
      <c r="U46" s="145">
        <f t="shared" si="12"/>
        <v>256.98948947650865</v>
      </c>
      <c r="V46" s="143">
        <f t="shared" si="3"/>
        <v>206.87325548991106</v>
      </c>
      <c r="W46" s="143">
        <f t="shared" si="4"/>
        <v>80.919975734646798</v>
      </c>
      <c r="X46" s="3">
        <f t="shared" si="9"/>
        <v>343.70039410853133</v>
      </c>
      <c r="AB46" s="148"/>
      <c r="AC46" s="148"/>
    </row>
    <row r="47" spans="1:29" s="104" customFormat="1" x14ac:dyDescent="0.25">
      <c r="A47" s="104">
        <v>65</v>
      </c>
      <c r="B47" s="104">
        <v>36</v>
      </c>
      <c r="C47" s="177">
        <f>TUM!C39</f>
        <v>2.1782008215735317E-2</v>
      </c>
      <c r="D47" s="104">
        <f t="shared" si="0"/>
        <v>0.97821799178426472</v>
      </c>
      <c r="E47" s="195">
        <f>'All bonds'!E40</f>
        <v>2.675775342023162</v>
      </c>
      <c r="F47" s="195">
        <f t="shared" si="10"/>
        <v>2.4633522140804871</v>
      </c>
      <c r="G47" s="138">
        <f t="shared" si="5"/>
        <v>0.38163938936509795</v>
      </c>
      <c r="H47" s="115">
        <f>PRODUCT($D$12:D47)</f>
        <v>0.78745298475606429</v>
      </c>
      <c r="I47" s="115">
        <f t="shared" si="14"/>
        <v>0.30052307625602814</v>
      </c>
      <c r="J47" s="139">
        <f>$C$6*SUM(I46:$I$50)/(G46*H46)</f>
        <v>465.98592424958332</v>
      </c>
      <c r="K47" s="140">
        <f t="shared" si="13"/>
        <v>1.7534238306306515E-2</v>
      </c>
      <c r="L47" s="115">
        <f t="shared" si="15"/>
        <v>6.6917560002009279E-3</v>
      </c>
      <c r="M47" s="141">
        <f t="shared" si="11"/>
        <v>7762.1022483193801</v>
      </c>
      <c r="N47" s="141">
        <f t="shared" si="6"/>
        <v>7296.116324069797</v>
      </c>
      <c r="O47" s="144">
        <v>0</v>
      </c>
      <c r="P47" s="143">
        <v>0</v>
      </c>
      <c r="Q47" s="144">
        <f t="shared" si="1"/>
        <v>3.9997791053249094</v>
      </c>
      <c r="R47" s="144">
        <f t="shared" si="2"/>
        <v>14.592232648139595</v>
      </c>
      <c r="S47" s="144">
        <f t="shared" si="7"/>
        <v>102.41747292938365</v>
      </c>
      <c r="T47" s="144">
        <f t="shared" si="8"/>
        <v>181.79395936470138</v>
      </c>
      <c r="U47" s="178">
        <f t="shared" si="12"/>
        <v>265.61942054062052</v>
      </c>
      <c r="V47" s="154">
        <f t="shared" si="3"/>
        <v>209.16280551388789</v>
      </c>
      <c r="W47" s="154">
        <f t="shared" si="4"/>
        <v>79.824765374210912</v>
      </c>
      <c r="X47" s="3">
        <f t="shared" si="9"/>
        <v>352.58143814820477</v>
      </c>
      <c r="AB47" s="151"/>
      <c r="AC47" s="151"/>
    </row>
    <row r="48" spans="1:29" s="104" customFormat="1" x14ac:dyDescent="0.25">
      <c r="A48" s="104">
        <v>66</v>
      </c>
      <c r="B48" s="104">
        <v>37</v>
      </c>
      <c r="C48" s="177">
        <f>TUM!C40</f>
        <v>2.3345392397782359E-2</v>
      </c>
      <c r="D48" s="104">
        <f t="shared" si="0"/>
        <v>0.97665460760221767</v>
      </c>
      <c r="E48" s="195">
        <f>'All bonds'!E41</f>
        <v>2.6697089777438561</v>
      </c>
      <c r="F48" s="195">
        <f t="shared" si="10"/>
        <v>2.4513198636888376</v>
      </c>
      <c r="G48" s="138">
        <f t="shared" si="5"/>
        <v>0.37239791896534757</v>
      </c>
      <c r="H48" s="115">
        <f>PRODUCT($D$12:D48)</f>
        <v>0.76906958583212903</v>
      </c>
      <c r="I48" s="115">
        <f>H48*G48</f>
        <v>0.28639991330342662</v>
      </c>
      <c r="J48" s="139">
        <f>$C$6*SUM(I47:$I$50)/(G47*H47)</f>
        <v>380.93313134150139</v>
      </c>
      <c r="K48" s="140">
        <f>H47-H48</f>
        <v>1.8383398923935257E-2</v>
      </c>
      <c r="L48" s="115">
        <f>K48*G48</f>
        <v>6.8459395027832999E-3</v>
      </c>
      <c r="M48" s="141">
        <f t="shared" si="11"/>
        <v>8132.834145834835</v>
      </c>
      <c r="N48" s="141">
        <f>M48-J48</f>
        <v>7751.9010144933336</v>
      </c>
      <c r="O48" s="144">
        <v>0</v>
      </c>
      <c r="P48" s="143">
        <v>0</v>
      </c>
      <c r="Q48" s="144">
        <f t="shared" si="1"/>
        <v>4.0797746874314074</v>
      </c>
      <c r="R48" s="144">
        <f t="shared" si="2"/>
        <v>15.503802028986668</v>
      </c>
      <c r="S48" s="144">
        <f t="shared" si="7"/>
        <v>102.41747292938365</v>
      </c>
      <c r="T48" s="144">
        <f t="shared" si="8"/>
        <v>192.05441313350741</v>
      </c>
      <c r="U48" s="178">
        <f t="shared" si="12"/>
        <v>274.88830934647297</v>
      </c>
      <c r="V48" s="154">
        <f t="shared" si="3"/>
        <v>211.40823821918613</v>
      </c>
      <c r="W48" s="154">
        <f t="shared" si="4"/>
        <v>78.727987964955375</v>
      </c>
      <c r="X48" s="3">
        <f t="shared" si="9"/>
        <v>361.57317153433161</v>
      </c>
      <c r="AB48" s="151"/>
      <c r="AC48" s="151"/>
    </row>
    <row r="49" spans="1:29" s="104" customFormat="1" x14ac:dyDescent="0.25">
      <c r="A49" s="104">
        <v>67</v>
      </c>
      <c r="B49" s="104">
        <v>38</v>
      </c>
      <c r="C49" s="177">
        <f>TUM!C41</f>
        <v>2.5277617903692692E-2</v>
      </c>
      <c r="D49" s="104">
        <f>1-C49</f>
        <v>0.97472238209630735</v>
      </c>
      <c r="E49" s="195">
        <f>'All bonds'!E42</f>
        <v>2.663676557940764</v>
      </c>
      <c r="F49" s="195">
        <f>B49*E49-B48*E48</f>
        <v>2.4404770252263575</v>
      </c>
      <c r="G49" s="138">
        <f t="shared" si="5"/>
        <v>0.3634196353967914</v>
      </c>
      <c r="H49" s="115">
        <f>PRODUCT($D$12:D49)</f>
        <v>0.74962933870011328</v>
      </c>
      <c r="I49" s="115">
        <f t="shared" ref="I49:I51" si="16">H49*G49</f>
        <v>0.27243002095313301</v>
      </c>
      <c r="J49" s="139">
        <f>$C$6*SUM(I48:$I$50)/(G48*H48)</f>
        <v>292.25002719468819</v>
      </c>
      <c r="K49" s="140">
        <f t="shared" ref="K49:K51" si="17">H48-H49</f>
        <v>1.9440247132015753E-2</v>
      </c>
      <c r="L49" s="115">
        <f>K49*G49</f>
        <v>7.0649675247406851E-3</v>
      </c>
      <c r="M49" s="141">
        <f t="shared" si="11"/>
        <v>8533.8864387048307</v>
      </c>
      <c r="N49" s="141">
        <f t="shared" ref="N49:N52" si="18">M49-J49</f>
        <v>8241.6364115101424</v>
      </c>
      <c r="O49" s="144">
        <v>0</v>
      </c>
      <c r="P49" s="143">
        <v>0</v>
      </c>
      <c r="Q49" s="144">
        <f t="shared" si="1"/>
        <v>4.1613701811800361</v>
      </c>
      <c r="R49" s="144">
        <f t="shared" si="2"/>
        <v>16.483272823020286</v>
      </c>
      <c r="S49" s="144">
        <f t="shared" si="7"/>
        <v>102.41747292938365</v>
      </c>
      <c r="T49" s="144">
        <f t="shared" si="8"/>
        <v>203.1308902527966</v>
      </c>
      <c r="U49" s="178">
        <f t="shared" si="12"/>
        <v>284.90372017797995</v>
      </c>
      <c r="V49" s="154">
        <f t="shared" si="3"/>
        <v>213.57218735022124</v>
      </c>
      <c r="W49" s="154">
        <f t="shared" si="4"/>
        <v>77.616326457712631</v>
      </c>
      <c r="X49" s="3">
        <f t="shared" si="9"/>
        <v>370.61098898354658</v>
      </c>
      <c r="AB49" s="151"/>
      <c r="AC49" s="151"/>
    </row>
    <row r="50" spans="1:29" x14ac:dyDescent="0.25">
      <c r="A50">
        <v>68</v>
      </c>
      <c r="B50">
        <v>39</v>
      </c>
      <c r="C50" s="137">
        <f>TUM!C42</f>
        <v>2.8097097063730259E-2</v>
      </c>
      <c r="D50" s="170">
        <f t="shared" si="0"/>
        <v>0.9719029029362698</v>
      </c>
      <c r="E50" s="195">
        <f>'All bonds'!E43</f>
        <v>2.6577033487839246</v>
      </c>
      <c r="F50" s="195">
        <f t="shared" si="10"/>
        <v>2.4307214008240265</v>
      </c>
      <c r="G50" s="138">
        <f t="shared" si="5"/>
        <v>0.35469241346555552</v>
      </c>
      <c r="H50" s="171">
        <f>PRODUCT($D$12:D50)</f>
        <v>0.72856693040883636</v>
      </c>
      <c r="I50" s="115">
        <f t="shared" si="16"/>
        <v>0.25841716291790162</v>
      </c>
      <c r="J50" s="139">
        <f>$C$6*SUM(I49:$I$50)/(G49*H49)</f>
        <v>199.56694527841458</v>
      </c>
      <c r="K50" s="140">
        <f t="shared" si="17"/>
        <v>2.1062408291276924E-2</v>
      </c>
      <c r="L50" s="115">
        <f>K50*G50</f>
        <v>7.4706764302299392E-3</v>
      </c>
      <c r="M50" s="141">
        <f t="shared" si="11"/>
        <v>8971.4941386978007</v>
      </c>
      <c r="N50" s="141">
        <f t="shared" si="18"/>
        <v>8771.9271934193857</v>
      </c>
      <c r="O50" s="144">
        <v>0</v>
      </c>
      <c r="P50" s="143">
        <v>0</v>
      </c>
      <c r="Q50" s="144">
        <f t="shared" si="1"/>
        <v>4.2445975848036372</v>
      </c>
      <c r="R50" s="144">
        <f t="shared" si="2"/>
        <v>17.54385438683877</v>
      </c>
      <c r="S50" s="144">
        <f t="shared" si="7"/>
        <v>102.41747292938365</v>
      </c>
      <c r="T50" s="144">
        <f t="shared" si="8"/>
        <v>215.18097842284214</v>
      </c>
      <c r="U50" s="178">
        <f t="shared" si="12"/>
        <v>295.80999938058341</v>
      </c>
      <c r="V50" s="154">
        <f t="shared" si="3"/>
        <v>215.51738323295143</v>
      </c>
      <c r="W50" s="154">
        <f t="shared" si="4"/>
        <v>76.442380802676595</v>
      </c>
      <c r="X50" s="3">
        <f t="shared" si="9"/>
        <v>379.45056803977496</v>
      </c>
      <c r="AB50" s="148"/>
      <c r="AC50" s="148"/>
    </row>
    <row r="51" spans="1:29" x14ac:dyDescent="0.25">
      <c r="A51">
        <v>69</v>
      </c>
      <c r="B51">
        <v>40</v>
      </c>
      <c r="C51" s="137">
        <f>TUM!C43</f>
        <v>3.1015541214860165E-2</v>
      </c>
      <c r="D51" s="170">
        <f t="shared" si="0"/>
        <v>0.96898445878513983</v>
      </c>
      <c r="E51" s="195">
        <f>'All bonds'!E44</f>
        <v>2.651809682326193</v>
      </c>
      <c r="F51" s="195">
        <f t="shared" si="10"/>
        <v>2.4219566904746586</v>
      </c>
      <c r="G51" s="138">
        <f t="shared" si="5"/>
        <v>0.34620511109549484</v>
      </c>
      <c r="H51" s="171">
        <f>PRODUCT($D$12:D51)</f>
        <v>0.70597003275095693</v>
      </c>
      <c r="I51" s="115">
        <f t="shared" si="16"/>
        <v>0.24441043361863518</v>
      </c>
      <c r="J51" s="139">
        <f>$C$6*SUM(I50:$I$50)/(G50*H50)</f>
        <v>102.41747292938365</v>
      </c>
      <c r="K51" s="140">
        <f t="shared" si="17"/>
        <v>2.2596897657879422E-2</v>
      </c>
      <c r="L51" s="115">
        <f t="shared" ref="L51" si="19">K51*G51</f>
        <v>7.823161464059673E-3</v>
      </c>
      <c r="M51" s="141">
        <f t="shared" si="11"/>
        <v>9457.9799135200501</v>
      </c>
      <c r="N51" s="141">
        <f t="shared" si="18"/>
        <v>9355.5624405906656</v>
      </c>
      <c r="O51" s="144">
        <v>0</v>
      </c>
      <c r="P51" s="154">
        <f>C3*H51</f>
        <v>7059.7003275095694</v>
      </c>
      <c r="Q51" s="144">
        <f t="shared" si="1"/>
        <v>4.3294895364997084</v>
      </c>
      <c r="R51" s="144">
        <f>$C$7*N51</f>
        <v>18.71112488118133</v>
      </c>
      <c r="S51" s="144">
        <f t="shared" si="7"/>
        <v>102.41747292938365</v>
      </c>
      <c r="T51" s="144">
        <f t="shared" si="8"/>
        <v>57.527259187253286</v>
      </c>
      <c r="U51" s="178">
        <f t="shared" si="12"/>
        <v>-6922.7962098106136</v>
      </c>
      <c r="V51" s="154">
        <f t="shared" si="3"/>
        <v>-4887.2866669681998</v>
      </c>
      <c r="W51" s="154">
        <f t="shared" si="4"/>
        <v>-1692.0036234932563</v>
      </c>
      <c r="X51" s="3">
        <f t="shared" si="9"/>
        <v>-8730.518175103236</v>
      </c>
      <c r="AB51" s="148"/>
      <c r="AC51" s="148"/>
    </row>
    <row r="52" spans="1:29" x14ac:dyDescent="0.25">
      <c r="A52">
        <v>70</v>
      </c>
      <c r="B52" s="170">
        <v>41</v>
      </c>
      <c r="E52" s="138"/>
      <c r="F52" s="173"/>
      <c r="G52" s="138"/>
      <c r="H52" s="115"/>
      <c r="I52" s="115"/>
      <c r="J52" s="139">
        <v>0</v>
      </c>
      <c r="K52" s="115"/>
      <c r="L52" s="115"/>
      <c r="M52" s="141">
        <f t="shared" si="11"/>
        <v>10000</v>
      </c>
      <c r="N52" s="141">
        <f t="shared" si="18"/>
        <v>10000</v>
      </c>
      <c r="O52" s="144"/>
      <c r="P52" s="143"/>
      <c r="Q52" s="144"/>
      <c r="R52" s="144"/>
      <c r="S52" s="144"/>
      <c r="T52" s="150"/>
      <c r="U52" s="145"/>
      <c r="V52" s="143"/>
      <c r="W52" s="143"/>
      <c r="X52" s="3">
        <f t="shared" si="9"/>
        <v>0</v>
      </c>
      <c r="AB52" s="148"/>
      <c r="AC52" s="148"/>
    </row>
    <row r="53" spans="1:29" x14ac:dyDescent="0.25">
      <c r="E53" s="138"/>
      <c r="F53" s="173"/>
      <c r="G53" s="138"/>
      <c r="H53" s="115"/>
      <c r="I53" s="115"/>
      <c r="J53" s="115"/>
      <c r="K53" s="115"/>
      <c r="L53" s="115"/>
      <c r="M53" s="149"/>
      <c r="N53" s="149"/>
      <c r="O53" s="144"/>
      <c r="P53" s="143"/>
      <c r="Q53" s="144"/>
      <c r="R53" s="144"/>
      <c r="S53" s="144"/>
      <c r="T53" s="150"/>
      <c r="U53" s="145"/>
      <c r="V53" s="143"/>
      <c r="W53" s="143"/>
      <c r="X53" s="3"/>
      <c r="AB53" s="148"/>
      <c r="AC53" s="148"/>
    </row>
    <row r="54" spans="1:29" x14ac:dyDescent="0.25">
      <c r="E54" s="138"/>
      <c r="F54" s="173"/>
      <c r="G54" s="138"/>
      <c r="H54" s="115"/>
      <c r="I54" s="115"/>
      <c r="J54" s="115"/>
      <c r="K54" s="115"/>
      <c r="L54" s="115"/>
      <c r="M54" s="149"/>
      <c r="N54" s="149"/>
      <c r="O54" s="144"/>
      <c r="P54" s="143"/>
      <c r="Q54" s="144"/>
      <c r="R54" s="144"/>
      <c r="S54" s="144"/>
      <c r="T54" s="150"/>
      <c r="U54" s="145"/>
      <c r="V54" s="143"/>
      <c r="W54" s="143"/>
      <c r="X54" s="3"/>
      <c r="AB54" s="148"/>
      <c r="AC54" s="148"/>
    </row>
    <row r="55" spans="1:29" x14ac:dyDescent="0.25">
      <c r="E55" s="138"/>
      <c r="F55" s="173"/>
      <c r="G55" s="138"/>
      <c r="H55" s="115"/>
      <c r="I55" s="115"/>
      <c r="J55" s="115"/>
      <c r="K55" s="115"/>
      <c r="L55" s="115"/>
      <c r="M55" s="149"/>
      <c r="N55" s="149"/>
      <c r="O55" s="144"/>
      <c r="P55" s="143"/>
      <c r="Q55" s="144"/>
      <c r="R55" s="144"/>
      <c r="S55" s="144"/>
      <c r="T55" s="150"/>
      <c r="U55" s="145"/>
      <c r="V55" s="143"/>
      <c r="W55" s="143"/>
      <c r="X55" s="3"/>
      <c r="AB55" s="148"/>
      <c r="AC55" s="148"/>
    </row>
    <row r="56" spans="1:29" x14ac:dyDescent="0.25">
      <c r="E56" s="138"/>
      <c r="F56" s="173"/>
      <c r="G56" s="138"/>
      <c r="H56" s="115"/>
      <c r="I56" s="115"/>
      <c r="J56" s="115"/>
      <c r="K56" s="115"/>
      <c r="L56" s="115"/>
      <c r="M56" s="149"/>
      <c r="N56" s="149"/>
      <c r="O56" s="144"/>
      <c r="P56" s="143"/>
      <c r="Q56" s="144"/>
      <c r="R56" s="144"/>
      <c r="S56" s="144"/>
      <c r="T56" s="150"/>
      <c r="U56" s="145"/>
      <c r="V56" s="143"/>
      <c r="W56" s="143"/>
      <c r="X56" s="3"/>
      <c r="AB56" s="148"/>
      <c r="AC56" s="148"/>
    </row>
    <row r="57" spans="1:29" x14ac:dyDescent="0.25">
      <c r="E57" s="138"/>
      <c r="F57" s="173"/>
      <c r="G57" s="138"/>
      <c r="H57" s="115"/>
      <c r="I57" s="115"/>
      <c r="J57" s="115"/>
      <c r="K57" s="115"/>
      <c r="L57" s="115"/>
      <c r="M57" s="149"/>
      <c r="N57" s="149"/>
      <c r="O57" s="144"/>
      <c r="P57" s="143"/>
      <c r="Q57" s="144"/>
      <c r="R57" s="144"/>
      <c r="S57" s="144"/>
      <c r="T57" s="150"/>
      <c r="U57" s="145"/>
      <c r="V57" s="143"/>
      <c r="W57" s="143"/>
      <c r="X57" s="3"/>
      <c r="AB57" s="148"/>
      <c r="AC57" s="148"/>
    </row>
    <row r="58" spans="1:29" x14ac:dyDescent="0.25">
      <c r="E58" s="138"/>
      <c r="F58" s="173"/>
      <c r="G58" s="138"/>
      <c r="H58" s="115"/>
      <c r="I58" s="115"/>
      <c r="J58" s="115"/>
      <c r="K58" s="115"/>
      <c r="L58" s="115"/>
      <c r="M58" s="149"/>
      <c r="N58" s="149"/>
      <c r="O58" s="144"/>
      <c r="P58" s="143"/>
      <c r="Q58" s="144"/>
      <c r="R58" s="144"/>
      <c r="S58" s="144"/>
      <c r="T58" s="150"/>
      <c r="U58" s="145"/>
      <c r="V58" s="143"/>
      <c r="W58" s="143"/>
      <c r="X58" s="3"/>
      <c r="AB58" s="148"/>
      <c r="AC58" s="148"/>
    </row>
    <row r="59" spans="1:29" x14ac:dyDescent="0.25">
      <c r="E59" s="138"/>
      <c r="F59" s="173"/>
      <c r="G59" s="138"/>
      <c r="H59" s="115"/>
      <c r="I59" s="115"/>
      <c r="J59" s="115"/>
      <c r="K59" s="115"/>
      <c r="L59" s="115"/>
      <c r="M59" s="149"/>
      <c r="N59" s="149"/>
      <c r="O59" s="144"/>
      <c r="P59" s="143"/>
      <c r="Q59" s="144"/>
      <c r="R59" s="144"/>
      <c r="S59" s="144"/>
      <c r="T59" s="150"/>
      <c r="U59" s="145"/>
      <c r="V59" s="143"/>
      <c r="W59" s="143"/>
      <c r="X59" s="3"/>
      <c r="AB59" s="148"/>
      <c r="AC59" s="148"/>
    </row>
    <row r="60" spans="1:29" x14ac:dyDescent="0.25">
      <c r="E60" s="138"/>
      <c r="F60" s="173"/>
      <c r="G60" s="138"/>
      <c r="H60" s="115"/>
      <c r="I60" s="115"/>
      <c r="J60" s="115"/>
      <c r="K60" s="115"/>
      <c r="L60" s="115"/>
      <c r="M60" s="149"/>
      <c r="N60" s="149"/>
      <c r="O60" s="144"/>
      <c r="P60" s="143"/>
      <c r="Q60" s="144"/>
      <c r="R60" s="144"/>
      <c r="S60" s="144"/>
      <c r="T60" s="150"/>
      <c r="U60" s="145"/>
      <c r="V60" s="143"/>
      <c r="W60" s="143"/>
      <c r="X60" s="3"/>
      <c r="AB60" s="148"/>
      <c r="AC60" s="148"/>
    </row>
    <row r="61" spans="1:29" x14ac:dyDescent="0.25">
      <c r="E61" s="138"/>
      <c r="F61" s="173"/>
      <c r="G61" s="138"/>
      <c r="H61" s="115"/>
      <c r="I61" s="115"/>
      <c r="J61" s="115"/>
      <c r="K61" s="115"/>
      <c r="L61" s="115"/>
      <c r="M61" s="149"/>
      <c r="N61" s="149"/>
      <c r="O61" s="144"/>
      <c r="P61" s="143"/>
      <c r="Q61" s="144"/>
      <c r="R61" s="144"/>
      <c r="S61" s="144"/>
      <c r="T61" s="150"/>
      <c r="U61" s="145"/>
      <c r="V61" s="143"/>
      <c r="W61" s="143"/>
      <c r="X61" s="3"/>
      <c r="AB61" s="148"/>
      <c r="AC61" s="148"/>
    </row>
    <row r="62" spans="1:29" x14ac:dyDescent="0.25">
      <c r="E62" s="138"/>
      <c r="F62" s="173"/>
      <c r="G62" s="138"/>
      <c r="H62" s="115"/>
      <c r="I62" s="115"/>
      <c r="J62" s="115"/>
      <c r="K62" s="115"/>
      <c r="L62" s="115"/>
      <c r="M62" s="149"/>
      <c r="N62" s="149"/>
      <c r="O62" s="144"/>
      <c r="P62" s="143"/>
      <c r="Q62" s="144"/>
      <c r="R62" s="144"/>
      <c r="S62" s="144"/>
      <c r="T62" s="150"/>
      <c r="U62" s="145"/>
      <c r="V62" s="143"/>
      <c r="W62" s="143"/>
      <c r="X62" s="3"/>
      <c r="AB62" s="148"/>
      <c r="AC62" s="148"/>
    </row>
    <row r="63" spans="1:29" x14ac:dyDescent="0.25">
      <c r="E63" s="138"/>
      <c r="F63" s="173"/>
      <c r="G63" s="138"/>
      <c r="H63" s="115"/>
      <c r="I63" s="115"/>
      <c r="J63" s="115"/>
      <c r="K63" s="115"/>
      <c r="L63" s="115"/>
      <c r="M63" s="149"/>
      <c r="N63" s="149"/>
      <c r="O63" s="144"/>
      <c r="P63" s="143"/>
      <c r="Q63" s="144"/>
      <c r="R63" s="144"/>
      <c r="S63" s="144"/>
      <c r="T63" s="150"/>
      <c r="U63" s="145"/>
      <c r="V63" s="143"/>
      <c r="W63" s="143"/>
      <c r="X63" s="3"/>
      <c r="AB63" s="148"/>
      <c r="AC63" s="148"/>
    </row>
    <row r="64" spans="1:29" x14ac:dyDescent="0.25">
      <c r="E64" s="138"/>
      <c r="F64" s="173"/>
      <c r="G64" s="138"/>
      <c r="H64" s="115"/>
      <c r="I64" s="115"/>
      <c r="J64" s="115"/>
      <c r="K64" s="115"/>
      <c r="L64" s="115"/>
      <c r="M64" s="149"/>
      <c r="N64" s="149"/>
      <c r="O64" s="144"/>
      <c r="P64" s="143"/>
      <c r="Q64" s="144"/>
      <c r="R64" s="144"/>
      <c r="S64" s="144"/>
      <c r="T64" s="150"/>
      <c r="U64" s="145"/>
      <c r="V64" s="143"/>
      <c r="W64" s="143"/>
      <c r="X64" s="3"/>
      <c r="AB64" s="148"/>
      <c r="AC64" s="148"/>
    </row>
    <row r="65" spans="5:29" x14ac:dyDescent="0.25">
      <c r="E65" s="138"/>
      <c r="F65" s="173"/>
      <c r="G65" s="138"/>
      <c r="H65" s="115"/>
      <c r="I65" s="115"/>
      <c r="J65" s="115"/>
      <c r="K65" s="115"/>
      <c r="L65" s="115"/>
      <c r="M65" s="149"/>
      <c r="N65" s="149"/>
      <c r="O65" s="144"/>
      <c r="P65" s="143"/>
      <c r="Q65" s="144"/>
      <c r="R65" s="144"/>
      <c r="S65" s="144"/>
      <c r="T65" s="150"/>
      <c r="U65" s="145"/>
      <c r="V65" s="143"/>
      <c r="W65" s="143"/>
      <c r="X65" s="3"/>
      <c r="AB65" s="148"/>
      <c r="AC65" s="148"/>
    </row>
    <row r="66" spans="5:29" x14ac:dyDescent="0.25">
      <c r="E66" s="138"/>
      <c r="F66" s="173"/>
      <c r="G66" s="138"/>
      <c r="H66" s="115"/>
      <c r="I66" s="115"/>
      <c r="J66" s="115"/>
      <c r="K66" s="115"/>
      <c r="L66" s="115"/>
      <c r="M66" s="149"/>
      <c r="N66" s="149"/>
      <c r="O66" s="144"/>
      <c r="P66" s="143"/>
      <c r="Q66" s="144"/>
      <c r="R66" s="144"/>
      <c r="S66" s="144"/>
      <c r="T66" s="150"/>
      <c r="U66" s="145"/>
      <c r="V66" s="143"/>
      <c r="W66" s="143"/>
      <c r="X66" s="3"/>
      <c r="AB66" s="148"/>
      <c r="AC66" s="148"/>
    </row>
    <row r="67" spans="5:29" x14ac:dyDescent="0.25">
      <c r="E67" s="138"/>
      <c r="F67" s="173"/>
      <c r="G67" s="138"/>
      <c r="H67" s="115"/>
      <c r="I67" s="115"/>
      <c r="J67" s="115"/>
      <c r="K67" s="115"/>
      <c r="L67" s="115"/>
      <c r="M67" s="149"/>
      <c r="N67" s="149"/>
      <c r="O67" s="144"/>
      <c r="P67" s="143"/>
      <c r="Q67" s="144"/>
      <c r="R67" s="144"/>
      <c r="S67" s="144"/>
      <c r="T67" s="150"/>
      <c r="U67" s="145"/>
      <c r="V67" s="143"/>
      <c r="W67" s="143"/>
      <c r="X67" s="3"/>
      <c r="AB67" s="148"/>
      <c r="AC67" s="148"/>
    </row>
    <row r="68" spans="5:29" x14ac:dyDescent="0.25">
      <c r="E68" s="138"/>
      <c r="F68" s="173"/>
      <c r="G68" s="138"/>
      <c r="H68" s="115"/>
      <c r="I68" s="115"/>
      <c r="J68" s="115"/>
      <c r="K68" s="115"/>
      <c r="L68" s="115"/>
      <c r="M68" s="149"/>
      <c r="N68" s="149"/>
      <c r="O68" s="144"/>
      <c r="P68" s="143"/>
      <c r="Q68" s="144"/>
      <c r="R68" s="144"/>
      <c r="S68" s="144"/>
      <c r="T68" s="150"/>
      <c r="U68" s="145"/>
      <c r="V68" s="143"/>
      <c r="W68" s="143"/>
      <c r="X68" s="3"/>
      <c r="AB68" s="148"/>
      <c r="AC68" s="148"/>
    </row>
    <row r="69" spans="5:29" x14ac:dyDescent="0.25">
      <c r="E69" s="138"/>
      <c r="F69" s="173"/>
      <c r="G69" s="138"/>
      <c r="H69" s="115"/>
      <c r="I69" s="115"/>
      <c r="J69" s="115"/>
      <c r="K69" s="115"/>
      <c r="L69" s="115"/>
      <c r="M69" s="149"/>
      <c r="N69" s="149"/>
      <c r="O69" s="144"/>
      <c r="P69" s="143"/>
      <c r="Q69" s="144"/>
      <c r="R69" s="144"/>
      <c r="S69" s="144"/>
      <c r="T69" s="150"/>
      <c r="U69" s="145"/>
      <c r="V69" s="143"/>
      <c r="W69" s="143"/>
      <c r="X69" s="3"/>
      <c r="AB69" s="148"/>
      <c r="AC69" s="148"/>
    </row>
    <row r="70" spans="5:29" x14ac:dyDescent="0.25">
      <c r="E70" s="138"/>
      <c r="F70" s="173"/>
      <c r="G70" s="138"/>
      <c r="H70" s="115"/>
      <c r="I70" s="115"/>
      <c r="J70" s="115"/>
      <c r="K70" s="115"/>
      <c r="L70" s="115"/>
      <c r="M70" s="149"/>
      <c r="N70" s="149"/>
      <c r="O70" s="144"/>
      <c r="P70" s="143"/>
      <c r="Q70" s="144"/>
      <c r="R70" s="144"/>
      <c r="S70" s="144"/>
      <c r="T70" s="150"/>
      <c r="U70" s="145"/>
      <c r="V70" s="143"/>
      <c r="W70" s="143"/>
      <c r="X70" s="3"/>
      <c r="AB70" s="148"/>
      <c r="AC70" s="148"/>
    </row>
    <row r="71" spans="5:29" x14ac:dyDescent="0.25">
      <c r="E71" s="138"/>
      <c r="F71" s="173"/>
      <c r="G71" s="138"/>
      <c r="H71" s="115"/>
      <c r="I71" s="115"/>
      <c r="J71" s="115"/>
      <c r="K71" s="115"/>
      <c r="L71" s="115"/>
      <c r="M71" s="149"/>
      <c r="N71" s="149"/>
      <c r="O71" s="144"/>
      <c r="P71" s="143"/>
      <c r="Q71" s="144"/>
      <c r="R71" s="144"/>
      <c r="S71" s="144"/>
      <c r="T71" s="150"/>
      <c r="U71" s="145"/>
      <c r="V71" s="143"/>
      <c r="W71" s="143"/>
      <c r="X71" s="3"/>
      <c r="AB71" s="148"/>
      <c r="AC71" s="148"/>
    </row>
    <row r="72" spans="5:29" x14ac:dyDescent="0.25">
      <c r="E72" s="138"/>
      <c r="F72" s="173"/>
      <c r="G72" s="138"/>
      <c r="H72" s="115"/>
      <c r="I72" s="115"/>
      <c r="J72" s="115"/>
      <c r="K72" s="115"/>
      <c r="L72" s="115"/>
      <c r="M72" s="149"/>
      <c r="N72" s="149"/>
      <c r="O72" s="144"/>
      <c r="P72" s="143"/>
      <c r="Q72" s="144"/>
      <c r="R72" s="144"/>
      <c r="S72" s="144"/>
      <c r="T72" s="150"/>
      <c r="U72" s="145"/>
      <c r="V72" s="143"/>
      <c r="W72" s="143"/>
      <c r="X72" s="3"/>
      <c r="AB72" s="148"/>
      <c r="AC72" s="148"/>
    </row>
    <row r="73" spans="5:29" x14ac:dyDescent="0.25">
      <c r="E73" s="138"/>
      <c r="F73" s="173"/>
      <c r="G73" s="138"/>
      <c r="H73" s="115"/>
      <c r="I73" s="115"/>
      <c r="J73" s="115"/>
      <c r="K73" s="115"/>
      <c r="L73" s="115"/>
      <c r="M73" s="149"/>
      <c r="N73" s="149"/>
      <c r="O73" s="144"/>
      <c r="P73" s="143"/>
      <c r="Q73" s="144"/>
      <c r="R73" s="144"/>
      <c r="S73" s="144"/>
      <c r="T73" s="150"/>
      <c r="U73" s="145"/>
      <c r="V73" s="143"/>
      <c r="W73" s="143"/>
      <c r="X73" s="3"/>
      <c r="AB73" s="148"/>
      <c r="AC73" s="148"/>
    </row>
    <row r="74" spans="5:29" x14ac:dyDescent="0.25">
      <c r="E74" s="138"/>
      <c r="F74" s="173"/>
      <c r="G74" s="138"/>
      <c r="H74" s="115"/>
      <c r="I74" s="115"/>
      <c r="J74" s="115"/>
      <c r="K74" s="115"/>
      <c r="L74" s="115"/>
      <c r="M74" s="149"/>
      <c r="N74" s="149"/>
      <c r="O74" s="144"/>
      <c r="P74" s="143"/>
      <c r="Q74" s="144"/>
      <c r="R74" s="144"/>
      <c r="S74" s="144"/>
      <c r="T74" s="150"/>
      <c r="U74" s="145"/>
      <c r="V74" s="143"/>
      <c r="W74" s="143"/>
      <c r="X74" s="3"/>
      <c r="AB74" s="148"/>
      <c r="AC74" s="148"/>
    </row>
    <row r="75" spans="5:29" x14ac:dyDescent="0.25">
      <c r="E75" s="138"/>
      <c r="F75" s="173"/>
      <c r="G75" s="138"/>
      <c r="H75" s="115"/>
      <c r="I75" s="115"/>
      <c r="J75" s="115"/>
      <c r="K75" s="115"/>
      <c r="L75" s="115"/>
      <c r="M75" s="149"/>
      <c r="N75" s="149"/>
      <c r="O75" s="144"/>
      <c r="P75" s="143"/>
      <c r="Q75" s="144"/>
      <c r="R75" s="144"/>
      <c r="S75" s="144"/>
      <c r="T75" s="150"/>
      <c r="U75" s="145"/>
      <c r="V75" s="143"/>
      <c r="W75" s="143"/>
      <c r="X75" s="3"/>
      <c r="AB75" s="148"/>
      <c r="AC75" s="148"/>
    </row>
    <row r="76" spans="5:29" x14ac:dyDescent="0.25">
      <c r="E76" s="138"/>
      <c r="F76" s="173"/>
      <c r="G76" s="138"/>
      <c r="H76" s="115"/>
      <c r="I76" s="115"/>
      <c r="J76" s="115"/>
      <c r="K76" s="115"/>
      <c r="L76" s="115"/>
      <c r="M76" s="149"/>
      <c r="N76" s="149"/>
      <c r="O76" s="144"/>
      <c r="P76" s="143"/>
      <c r="Q76" s="144"/>
      <c r="R76" s="144"/>
      <c r="S76" s="144"/>
      <c r="T76" s="150"/>
      <c r="U76" s="145"/>
      <c r="V76" s="143"/>
      <c r="W76" s="143"/>
      <c r="X76" s="3"/>
      <c r="AB76" s="148"/>
      <c r="AC76" s="148"/>
    </row>
    <row r="77" spans="5:29" x14ac:dyDescent="0.25">
      <c r="E77" s="138"/>
      <c r="F77" s="173"/>
      <c r="G77" s="138"/>
      <c r="H77" s="115"/>
      <c r="I77" s="115"/>
      <c r="J77" s="115"/>
      <c r="K77" s="115"/>
      <c r="L77" s="115"/>
      <c r="M77" s="149"/>
      <c r="N77" s="149"/>
      <c r="O77" s="144"/>
      <c r="P77" s="143"/>
      <c r="Q77" s="144"/>
      <c r="R77" s="144"/>
      <c r="S77" s="144"/>
      <c r="T77" s="150"/>
      <c r="U77" s="145"/>
      <c r="V77" s="143"/>
      <c r="W77" s="143"/>
      <c r="X77" s="3"/>
      <c r="AB77" s="148"/>
      <c r="AC77" s="148"/>
    </row>
    <row r="78" spans="5:29" x14ac:dyDescent="0.25">
      <c r="E78" s="138"/>
      <c r="F78" s="173"/>
      <c r="G78" s="138"/>
      <c r="H78" s="115"/>
      <c r="I78" s="115"/>
      <c r="J78" s="115"/>
      <c r="K78" s="115"/>
      <c r="L78" s="115"/>
      <c r="M78" s="149"/>
      <c r="N78" s="149"/>
      <c r="O78" s="144"/>
      <c r="P78" s="143"/>
      <c r="Q78" s="144"/>
      <c r="R78" s="144"/>
      <c r="S78" s="144"/>
      <c r="T78" s="150"/>
      <c r="U78" s="145"/>
      <c r="V78" s="143"/>
      <c r="W78" s="143"/>
      <c r="X78" s="3"/>
      <c r="AB78" s="148"/>
      <c r="AC78" s="148"/>
    </row>
    <row r="79" spans="5:29" x14ac:dyDescent="0.25">
      <c r="E79" s="138"/>
      <c r="F79" s="173"/>
      <c r="G79" s="138"/>
      <c r="H79" s="115"/>
      <c r="I79" s="115"/>
      <c r="J79" s="115"/>
      <c r="K79" s="115"/>
      <c r="L79" s="115"/>
      <c r="M79" s="149"/>
      <c r="N79" s="149"/>
      <c r="O79" s="144"/>
      <c r="P79" s="143"/>
      <c r="Q79" s="144"/>
      <c r="R79" s="144"/>
      <c r="S79" s="144"/>
      <c r="T79" s="150"/>
      <c r="U79" s="145"/>
      <c r="V79" s="143"/>
      <c r="W79" s="143"/>
      <c r="X79" s="3"/>
      <c r="AB79" s="148"/>
      <c r="AC79" s="148"/>
    </row>
    <row r="80" spans="5:29" x14ac:dyDescent="0.25">
      <c r="E80" s="138"/>
      <c r="F80" s="173"/>
      <c r="G80" s="138"/>
      <c r="H80" s="115"/>
      <c r="I80" s="115"/>
      <c r="J80" s="115"/>
      <c r="K80" s="115"/>
      <c r="L80" s="115"/>
      <c r="M80" s="149"/>
      <c r="N80" s="149"/>
      <c r="O80" s="144"/>
      <c r="P80" s="143"/>
      <c r="Q80" s="144"/>
      <c r="R80" s="144"/>
      <c r="S80" s="144"/>
      <c r="T80" s="150"/>
      <c r="U80" s="145"/>
      <c r="V80" s="143"/>
      <c r="W80" s="143"/>
      <c r="X80" s="3"/>
      <c r="AB80" s="148"/>
      <c r="AC80" s="148"/>
    </row>
    <row r="81" spans="5:29" x14ac:dyDescent="0.25">
      <c r="E81" s="138"/>
      <c r="F81" s="173"/>
      <c r="G81" s="138"/>
      <c r="H81" s="115"/>
      <c r="I81" s="115"/>
      <c r="J81" s="115"/>
      <c r="K81" s="115"/>
      <c r="L81" s="115"/>
      <c r="M81" s="149"/>
      <c r="N81" s="149"/>
      <c r="O81" s="144"/>
      <c r="P81" s="143"/>
      <c r="Q81" s="144"/>
      <c r="R81" s="144"/>
      <c r="S81" s="144"/>
      <c r="T81" s="150"/>
      <c r="U81" s="145"/>
      <c r="V81" s="143"/>
      <c r="W81" s="143"/>
      <c r="X81" s="3"/>
      <c r="AB81" s="148"/>
      <c r="AC81" s="148"/>
    </row>
    <row r="82" spans="5:29" x14ac:dyDescent="0.25">
      <c r="E82" s="138"/>
      <c r="F82" s="173"/>
      <c r="G82" s="138"/>
      <c r="H82" s="115"/>
      <c r="I82" s="115"/>
      <c r="J82" s="115"/>
      <c r="K82" s="115"/>
      <c r="L82" s="115"/>
      <c r="M82" s="149"/>
      <c r="N82" s="149"/>
      <c r="O82" s="144"/>
      <c r="P82" s="143"/>
      <c r="Q82" s="144"/>
      <c r="R82" s="144"/>
      <c r="S82" s="144"/>
      <c r="T82" s="150"/>
      <c r="U82" s="145"/>
      <c r="V82" s="143"/>
      <c r="W82" s="143"/>
      <c r="X82" s="3"/>
      <c r="AB82" s="148"/>
      <c r="AC82" s="148"/>
    </row>
    <row r="83" spans="5:29" x14ac:dyDescent="0.25">
      <c r="E83" s="138"/>
      <c r="F83" s="173"/>
      <c r="G83" s="138"/>
      <c r="H83" s="115"/>
      <c r="I83" s="115"/>
      <c r="J83" s="115"/>
      <c r="K83" s="115"/>
      <c r="L83" s="115"/>
      <c r="M83" s="149"/>
      <c r="N83" s="149"/>
      <c r="O83" s="144"/>
      <c r="P83" s="143"/>
      <c r="Q83" s="144"/>
      <c r="R83" s="144"/>
      <c r="S83" s="144"/>
      <c r="T83" s="150"/>
      <c r="U83" s="145"/>
      <c r="V83" s="143"/>
      <c r="W83" s="143"/>
      <c r="X83" s="3"/>
      <c r="AB83" s="148"/>
      <c r="AC83" s="148"/>
    </row>
    <row r="84" spans="5:29" x14ac:dyDescent="0.25">
      <c r="E84" s="138"/>
      <c r="F84" s="173"/>
      <c r="G84" s="138"/>
      <c r="H84" s="115"/>
      <c r="I84" s="115"/>
      <c r="J84" s="115"/>
      <c r="K84" s="115"/>
      <c r="L84" s="115"/>
      <c r="M84" s="149"/>
      <c r="N84" s="149"/>
      <c r="O84" s="144"/>
      <c r="P84" s="143"/>
      <c r="Q84" s="144"/>
      <c r="R84" s="144"/>
      <c r="S84" s="144"/>
      <c r="T84" s="150"/>
      <c r="U84" s="145"/>
      <c r="V84" s="143"/>
      <c r="W84" s="143"/>
      <c r="X84" s="3"/>
      <c r="AB84" s="148"/>
      <c r="AC84" s="148"/>
    </row>
    <row r="85" spans="5:29" x14ac:dyDescent="0.25">
      <c r="E85" s="138"/>
      <c r="F85" s="173"/>
      <c r="G85" s="138"/>
      <c r="H85" s="115"/>
      <c r="I85" s="115"/>
      <c r="J85" s="115"/>
      <c r="K85" s="115"/>
      <c r="L85" s="115"/>
      <c r="M85" s="149"/>
      <c r="N85" s="149"/>
      <c r="O85" s="144"/>
      <c r="P85" s="143"/>
      <c r="Q85" s="144"/>
      <c r="R85" s="144"/>
      <c r="S85" s="144"/>
      <c r="T85" s="150"/>
      <c r="U85" s="145"/>
      <c r="V85" s="143"/>
      <c r="W85" s="143"/>
      <c r="X85" s="3"/>
      <c r="AB85" s="148"/>
      <c r="AC85" s="148"/>
    </row>
    <row r="86" spans="5:29" x14ac:dyDescent="0.25">
      <c r="E86" s="138"/>
      <c r="F86" s="173"/>
      <c r="G86" s="138"/>
      <c r="H86" s="115"/>
      <c r="I86" s="115"/>
      <c r="J86" s="115"/>
      <c r="K86" s="115"/>
      <c r="L86" s="115"/>
      <c r="M86" s="149"/>
      <c r="N86" s="149"/>
      <c r="O86" s="144"/>
      <c r="P86" s="143"/>
      <c r="Q86" s="144"/>
      <c r="R86" s="144"/>
      <c r="S86" s="144"/>
      <c r="T86" s="150"/>
      <c r="U86" s="145"/>
      <c r="V86" s="143"/>
      <c r="W86" s="143"/>
      <c r="X86" s="3"/>
      <c r="AB86" s="148"/>
      <c r="AC86" s="148"/>
    </row>
    <row r="87" spans="5:29" x14ac:dyDescent="0.25">
      <c r="E87" s="138"/>
      <c r="F87" s="173"/>
      <c r="G87" s="138"/>
      <c r="H87" s="115"/>
      <c r="I87" s="115"/>
      <c r="J87" s="115"/>
      <c r="K87" s="115"/>
      <c r="L87" s="115"/>
      <c r="M87" s="149"/>
      <c r="N87" s="149"/>
      <c r="O87" s="144"/>
      <c r="P87" s="143"/>
      <c r="Q87" s="144"/>
      <c r="R87" s="144"/>
      <c r="S87" s="144"/>
      <c r="T87" s="150"/>
      <c r="U87" s="145"/>
      <c r="V87" s="143"/>
      <c r="W87" s="143"/>
      <c r="X87" s="3"/>
      <c r="AB87" s="148"/>
      <c r="AC87" s="148"/>
    </row>
    <row r="88" spans="5:29" x14ac:dyDescent="0.25">
      <c r="E88" s="138"/>
      <c r="F88" s="173"/>
      <c r="G88" s="138"/>
      <c r="H88" s="115"/>
      <c r="I88" s="115"/>
      <c r="J88" s="115"/>
      <c r="K88" s="115"/>
      <c r="L88" s="115"/>
      <c r="M88" s="149"/>
      <c r="N88" s="149"/>
      <c r="O88" s="144"/>
      <c r="P88" s="143"/>
      <c r="Q88" s="144"/>
      <c r="R88" s="144"/>
      <c r="S88" s="144"/>
      <c r="T88" s="150"/>
      <c r="U88" s="145"/>
      <c r="V88" s="143"/>
      <c r="W88" s="143"/>
      <c r="X88" s="3"/>
      <c r="AB88" s="148"/>
      <c r="AC88" s="148"/>
    </row>
    <row r="89" spans="5:29" x14ac:dyDescent="0.25">
      <c r="E89" s="138"/>
      <c r="F89" s="173"/>
      <c r="G89" s="138"/>
      <c r="H89" s="115"/>
      <c r="I89" s="115"/>
      <c r="J89" s="115"/>
      <c r="K89" s="115"/>
      <c r="L89" s="115"/>
      <c r="M89" s="149"/>
      <c r="N89" s="149"/>
      <c r="O89" s="144"/>
      <c r="P89" s="143"/>
      <c r="Q89" s="144"/>
      <c r="R89" s="144"/>
      <c r="S89" s="144"/>
      <c r="T89" s="150"/>
      <c r="U89" s="145"/>
      <c r="V89" s="143"/>
      <c r="W89" s="143"/>
      <c r="X89" s="3"/>
      <c r="AB89" s="148"/>
      <c r="AC89" s="148"/>
    </row>
    <row r="90" spans="5:29" x14ac:dyDescent="0.25">
      <c r="E90" s="138"/>
      <c r="F90" s="173"/>
      <c r="G90" s="138"/>
      <c r="H90" s="115"/>
      <c r="I90" s="115"/>
      <c r="J90" s="115"/>
      <c r="K90" s="115"/>
      <c r="L90" s="115"/>
      <c r="M90" s="149"/>
      <c r="N90" s="149"/>
      <c r="O90" s="144"/>
      <c r="P90" s="143"/>
      <c r="Q90" s="144"/>
      <c r="R90" s="144"/>
      <c r="S90" s="144"/>
      <c r="T90" s="150"/>
      <c r="U90" s="145"/>
      <c r="V90" s="143"/>
      <c r="W90" s="143"/>
      <c r="X90" s="3"/>
      <c r="AB90" s="148"/>
      <c r="AC90" s="148"/>
    </row>
    <row r="91" spans="5:29" x14ac:dyDescent="0.25">
      <c r="E91" s="138"/>
      <c r="F91" s="173"/>
      <c r="G91" s="138"/>
      <c r="H91" s="115"/>
      <c r="I91" s="115"/>
      <c r="J91" s="115"/>
      <c r="K91" s="115"/>
      <c r="L91" s="115"/>
      <c r="M91" s="149"/>
      <c r="N91" s="149"/>
      <c r="O91" s="144"/>
      <c r="P91" s="143"/>
      <c r="Q91" s="144"/>
      <c r="R91" s="144"/>
      <c r="S91" s="144"/>
      <c r="T91" s="150"/>
      <c r="U91" s="145"/>
      <c r="V91" s="143"/>
      <c r="W91" s="143"/>
      <c r="X91" s="3"/>
      <c r="AB91" s="148"/>
      <c r="AC91" s="148"/>
    </row>
    <row r="92" spans="5:29" x14ac:dyDescent="0.25">
      <c r="E92" s="138"/>
      <c r="F92" s="173"/>
      <c r="G92" s="138"/>
      <c r="H92" s="115"/>
      <c r="I92" s="115"/>
      <c r="J92" s="115"/>
      <c r="K92" s="115"/>
      <c r="L92" s="115"/>
      <c r="M92" s="149"/>
      <c r="N92" s="149"/>
      <c r="O92" s="144"/>
      <c r="P92" s="143"/>
      <c r="Q92" s="144"/>
      <c r="R92" s="144"/>
      <c r="S92" s="144"/>
      <c r="T92" s="150"/>
      <c r="U92" s="145"/>
      <c r="V92" s="143"/>
      <c r="W92" s="143"/>
      <c r="X92" s="3"/>
      <c r="AB92" s="148"/>
      <c r="AC92" s="148"/>
    </row>
    <row r="93" spans="5:29" x14ac:dyDescent="0.25">
      <c r="E93" s="138"/>
      <c r="F93" s="173"/>
      <c r="G93" s="138"/>
      <c r="H93" s="115"/>
      <c r="I93" s="115"/>
      <c r="J93" s="115"/>
      <c r="K93" s="115"/>
      <c r="L93" s="115"/>
      <c r="M93" s="149"/>
      <c r="N93" s="149"/>
      <c r="O93" s="144"/>
      <c r="P93" s="143"/>
      <c r="Q93" s="144"/>
      <c r="R93" s="144"/>
      <c r="S93" s="144"/>
      <c r="T93" s="150"/>
      <c r="U93" s="145"/>
      <c r="V93" s="143"/>
      <c r="W93" s="143"/>
      <c r="X93" s="3"/>
      <c r="AB93" s="148"/>
      <c r="AC93" s="148"/>
    </row>
    <row r="94" spans="5:29" x14ac:dyDescent="0.25">
      <c r="E94" s="138"/>
      <c r="F94" s="173"/>
      <c r="G94" s="138"/>
      <c r="H94" s="115"/>
      <c r="I94" s="115"/>
      <c r="J94" s="115"/>
      <c r="K94" s="115"/>
      <c r="L94" s="115"/>
      <c r="M94" s="149"/>
      <c r="N94" s="149"/>
      <c r="O94" s="144"/>
      <c r="P94" s="143"/>
      <c r="Q94" s="144"/>
      <c r="R94" s="144"/>
      <c r="S94" s="144"/>
      <c r="T94" s="150"/>
      <c r="U94" s="145"/>
      <c r="V94" s="143"/>
      <c r="W94" s="143"/>
      <c r="X94" s="3"/>
      <c r="AB94" s="148"/>
      <c r="AC94" s="148"/>
    </row>
    <row r="95" spans="5:29" x14ac:dyDescent="0.25">
      <c r="E95" s="138"/>
      <c r="F95" s="173"/>
      <c r="G95" s="138"/>
      <c r="H95" s="115"/>
      <c r="I95" s="115"/>
      <c r="J95" s="115"/>
      <c r="K95" s="115"/>
      <c r="L95" s="115"/>
      <c r="M95" s="149"/>
      <c r="N95" s="149"/>
      <c r="O95" s="144"/>
      <c r="P95" s="143"/>
      <c r="Q95" s="144"/>
      <c r="R95" s="144"/>
      <c r="S95" s="144"/>
      <c r="T95" s="150"/>
      <c r="U95" s="145"/>
      <c r="V95" s="143"/>
      <c r="W95" s="143"/>
      <c r="X95" s="3"/>
      <c r="AB95" s="148"/>
      <c r="AC95" s="148"/>
    </row>
    <row r="96" spans="5:29" x14ac:dyDescent="0.25">
      <c r="E96" s="138"/>
      <c r="F96" s="173"/>
      <c r="G96" s="138"/>
      <c r="H96" s="115"/>
      <c r="I96" s="115"/>
      <c r="J96" s="115"/>
      <c r="K96" s="115"/>
      <c r="L96" s="115"/>
      <c r="M96" s="149"/>
      <c r="N96" s="149"/>
      <c r="O96" s="144"/>
      <c r="P96" s="143"/>
      <c r="Q96" s="144"/>
      <c r="R96" s="144"/>
      <c r="S96" s="144"/>
      <c r="T96" s="150"/>
      <c r="U96" s="145"/>
      <c r="V96" s="143"/>
      <c r="W96" s="143"/>
      <c r="X96" s="3"/>
      <c r="AB96" s="148"/>
      <c r="AC96" s="148"/>
    </row>
    <row r="97" spans="5:29" x14ac:dyDescent="0.25">
      <c r="E97" s="138"/>
      <c r="F97" s="173"/>
      <c r="G97" s="138"/>
      <c r="H97" s="115"/>
      <c r="I97" s="115"/>
      <c r="J97" s="115"/>
      <c r="K97" s="115"/>
      <c r="L97" s="115"/>
      <c r="M97" s="149"/>
      <c r="N97" s="149"/>
      <c r="O97" s="144"/>
      <c r="P97" s="143"/>
      <c r="Q97" s="144"/>
      <c r="R97" s="144"/>
      <c r="S97" s="144"/>
      <c r="T97" s="150"/>
      <c r="U97" s="145"/>
      <c r="V97" s="143"/>
      <c r="W97" s="143"/>
      <c r="X97" s="3"/>
      <c r="AB97" s="148"/>
      <c r="AC97" s="148"/>
    </row>
    <row r="98" spans="5:29" x14ac:dyDescent="0.25">
      <c r="E98" s="138"/>
      <c r="F98" s="173"/>
      <c r="G98" s="138"/>
      <c r="H98" s="115"/>
      <c r="I98" s="115"/>
      <c r="J98" s="115"/>
      <c r="K98" s="115"/>
      <c r="L98" s="115"/>
      <c r="M98" s="149"/>
      <c r="N98" s="149"/>
      <c r="O98" s="144"/>
      <c r="P98" s="143"/>
      <c r="Q98" s="144"/>
      <c r="R98" s="144"/>
      <c r="S98" s="144"/>
      <c r="T98" s="150"/>
      <c r="U98" s="145"/>
      <c r="V98" s="143"/>
      <c r="W98" s="143"/>
      <c r="X98" s="3"/>
      <c r="AB98" s="148"/>
      <c r="AC98" s="148"/>
    </row>
    <row r="99" spans="5:29" x14ac:dyDescent="0.25">
      <c r="E99" s="138"/>
      <c r="F99" s="173"/>
      <c r="G99" s="138"/>
      <c r="H99" s="115"/>
      <c r="I99" s="115"/>
      <c r="J99" s="115"/>
      <c r="K99" s="115"/>
      <c r="L99" s="115"/>
      <c r="M99" s="149"/>
      <c r="N99" s="149"/>
      <c r="O99" s="144"/>
      <c r="P99" s="143"/>
      <c r="Q99" s="144"/>
      <c r="R99" s="144"/>
      <c r="S99" s="144"/>
      <c r="T99" s="150"/>
      <c r="U99" s="145"/>
      <c r="V99" s="143"/>
      <c r="W99" s="143"/>
      <c r="X99" s="3"/>
      <c r="AB99" s="148"/>
      <c r="AC99" s="148"/>
    </row>
    <row r="100" spans="5:29" x14ac:dyDescent="0.25">
      <c r="E100" s="138"/>
      <c r="F100" s="173"/>
      <c r="G100" s="138"/>
      <c r="H100" s="115"/>
      <c r="I100" s="115"/>
      <c r="J100" s="115"/>
      <c r="K100" s="115"/>
      <c r="L100" s="115"/>
      <c r="M100" s="149"/>
      <c r="N100" s="149"/>
      <c r="O100" s="144"/>
      <c r="P100" s="143"/>
      <c r="Q100" s="144"/>
      <c r="R100" s="144"/>
      <c r="S100" s="144"/>
      <c r="T100" s="150"/>
      <c r="U100" s="145"/>
      <c r="V100" s="143"/>
      <c r="W100" s="143"/>
      <c r="X100" s="3"/>
      <c r="AB100" s="148"/>
      <c r="AC100" s="148"/>
    </row>
    <row r="101" spans="5:29" x14ac:dyDescent="0.25">
      <c r="E101" s="138"/>
      <c r="F101" s="173"/>
      <c r="G101" s="138"/>
      <c r="H101" s="115"/>
      <c r="I101" s="115"/>
      <c r="J101" s="115"/>
      <c r="K101" s="115"/>
      <c r="L101" s="115"/>
      <c r="M101" s="149"/>
      <c r="N101" s="149"/>
      <c r="O101" s="144"/>
      <c r="P101" s="143"/>
      <c r="Q101" s="144"/>
      <c r="R101" s="144"/>
      <c r="S101" s="144"/>
      <c r="T101" s="150"/>
      <c r="U101" s="145"/>
      <c r="V101" s="143"/>
      <c r="W101" s="143"/>
      <c r="X101" s="3"/>
      <c r="AB101" s="148"/>
      <c r="AC101" s="148"/>
    </row>
    <row r="102" spans="5:29" x14ac:dyDescent="0.25">
      <c r="E102" s="138"/>
      <c r="F102" s="173"/>
      <c r="G102" s="138"/>
      <c r="H102" s="115"/>
      <c r="I102" s="115"/>
      <c r="J102" s="115"/>
      <c r="K102" s="115"/>
      <c r="L102" s="115"/>
      <c r="M102" s="149"/>
      <c r="N102" s="149"/>
      <c r="O102" s="144"/>
      <c r="P102" s="143"/>
      <c r="Q102" s="144"/>
      <c r="R102" s="144"/>
      <c r="S102" s="144"/>
      <c r="T102" s="150"/>
      <c r="U102" s="145"/>
      <c r="V102" s="143"/>
      <c r="W102" s="143"/>
      <c r="X102" s="3"/>
      <c r="AB102" s="148"/>
      <c r="AC102" s="148"/>
    </row>
    <row r="103" spans="5:29" x14ac:dyDescent="0.25">
      <c r="E103" s="138"/>
      <c r="F103" s="173"/>
      <c r="G103" s="138"/>
      <c r="H103" s="115"/>
      <c r="I103" s="115"/>
      <c r="J103" s="115"/>
      <c r="K103" s="115"/>
      <c r="L103" s="115"/>
      <c r="M103" s="149"/>
      <c r="N103" s="149"/>
      <c r="O103" s="144"/>
      <c r="P103" s="143"/>
      <c r="Q103" s="144"/>
      <c r="R103" s="144"/>
      <c r="S103" s="144"/>
      <c r="T103" s="150"/>
      <c r="U103" s="145"/>
      <c r="V103" s="143"/>
      <c r="W103" s="143"/>
      <c r="X103" s="3"/>
      <c r="AB103" s="148"/>
      <c r="AC103" s="148"/>
    </row>
    <row r="104" spans="5:29" x14ac:dyDescent="0.25">
      <c r="E104" s="138"/>
      <c r="F104" s="173"/>
      <c r="G104" s="138"/>
      <c r="H104" s="115"/>
      <c r="I104" s="115"/>
      <c r="J104" s="115"/>
      <c r="K104" s="115"/>
      <c r="L104" s="115"/>
      <c r="M104" s="149"/>
      <c r="N104" s="149"/>
      <c r="O104" s="144"/>
      <c r="P104" s="143"/>
      <c r="Q104" s="144"/>
      <c r="R104" s="144"/>
      <c r="S104" s="144"/>
      <c r="T104" s="150"/>
      <c r="U104" s="145"/>
      <c r="V104" s="143"/>
      <c r="W104" s="143"/>
      <c r="X104" s="3"/>
      <c r="AB104" s="148"/>
      <c r="AC104" s="148"/>
    </row>
    <row r="105" spans="5:29" x14ac:dyDescent="0.25">
      <c r="E105" s="138"/>
      <c r="F105" s="173"/>
      <c r="G105" s="138"/>
      <c r="H105" s="115"/>
      <c r="I105" s="115"/>
      <c r="J105" s="115"/>
      <c r="K105" s="115"/>
      <c r="L105" s="115"/>
      <c r="M105" s="149"/>
      <c r="N105" s="149"/>
      <c r="O105" s="144"/>
      <c r="P105" s="143"/>
      <c r="Q105" s="144"/>
      <c r="R105" s="144"/>
      <c r="S105" s="144"/>
      <c r="T105" s="150"/>
      <c r="U105" s="145"/>
      <c r="V105" s="143"/>
      <c r="W105" s="143"/>
      <c r="X105" s="3"/>
      <c r="AB105" s="148"/>
      <c r="AC105" s="148"/>
    </row>
    <row r="106" spans="5:29" x14ac:dyDescent="0.25">
      <c r="E106" s="138"/>
      <c r="F106" s="173"/>
      <c r="G106" s="138"/>
      <c r="H106" s="115"/>
      <c r="I106" s="115"/>
      <c r="J106" s="115"/>
      <c r="K106" s="115"/>
      <c r="L106" s="115"/>
      <c r="M106" s="149"/>
      <c r="N106" s="149"/>
      <c r="O106" s="144"/>
      <c r="P106" s="143"/>
      <c r="Q106" s="144"/>
      <c r="R106" s="144"/>
      <c r="S106" s="144"/>
      <c r="T106" s="150"/>
      <c r="U106" s="145"/>
      <c r="V106" s="143"/>
      <c r="W106" s="143"/>
      <c r="X106" s="3"/>
      <c r="AB106" s="148"/>
      <c r="AC106" s="148"/>
    </row>
    <row r="107" spans="5:29" x14ac:dyDescent="0.25">
      <c r="E107" s="138"/>
      <c r="F107" s="173"/>
      <c r="G107" s="138"/>
      <c r="H107" s="115"/>
      <c r="I107" s="115"/>
      <c r="J107" s="115"/>
      <c r="K107" s="115"/>
      <c r="L107" s="115"/>
      <c r="M107" s="149"/>
      <c r="N107" s="149"/>
      <c r="O107" s="144"/>
      <c r="P107" s="143"/>
      <c r="Q107" s="144"/>
      <c r="R107" s="144"/>
      <c r="S107" s="144"/>
      <c r="T107" s="150"/>
      <c r="U107" s="145"/>
      <c r="V107" s="143"/>
      <c r="W107" s="143"/>
      <c r="X107" s="3"/>
      <c r="AB107" s="148"/>
      <c r="AC107" s="148"/>
    </row>
    <row r="108" spans="5:29" x14ac:dyDescent="0.25">
      <c r="E108" s="138"/>
      <c r="F108" s="173"/>
      <c r="G108" s="138"/>
      <c r="H108" s="115"/>
      <c r="I108" s="115"/>
      <c r="J108" s="115"/>
      <c r="K108" s="115"/>
      <c r="L108" s="115"/>
      <c r="M108" s="149"/>
      <c r="N108" s="149"/>
      <c r="O108" s="144"/>
      <c r="P108" s="143"/>
      <c r="Q108" s="144"/>
      <c r="R108" s="144"/>
      <c r="S108" s="144"/>
      <c r="T108" s="150"/>
      <c r="U108" s="145"/>
      <c r="V108" s="143"/>
      <c r="W108" s="143"/>
      <c r="X108" s="3"/>
      <c r="AB108" s="148"/>
      <c r="AC108" s="148"/>
    </row>
    <row r="109" spans="5:29" x14ac:dyDescent="0.25">
      <c r="E109" s="138"/>
      <c r="F109" s="173"/>
      <c r="G109" s="138"/>
      <c r="H109" s="115"/>
      <c r="I109" s="115"/>
      <c r="J109" s="115"/>
      <c r="K109" s="115"/>
      <c r="L109" s="115"/>
      <c r="M109" s="149"/>
      <c r="N109" s="149"/>
      <c r="O109" s="144"/>
      <c r="P109" s="143"/>
      <c r="Q109" s="144"/>
      <c r="R109" s="144"/>
      <c r="S109" s="144"/>
      <c r="T109" s="150"/>
      <c r="U109" s="145"/>
      <c r="V109" s="143"/>
      <c r="W109" s="143"/>
      <c r="X109" s="3"/>
      <c r="AB109" s="148"/>
      <c r="AC109" s="148"/>
    </row>
    <row r="110" spans="5:29" x14ac:dyDescent="0.25">
      <c r="E110" s="138"/>
      <c r="F110" s="173"/>
      <c r="G110" s="138"/>
      <c r="H110" s="115"/>
      <c r="I110" s="115"/>
      <c r="J110" s="115"/>
      <c r="K110" s="115"/>
      <c r="L110" s="115"/>
      <c r="M110" s="149"/>
      <c r="N110" s="149"/>
      <c r="O110" s="144"/>
      <c r="P110" s="143"/>
      <c r="Q110" s="144"/>
      <c r="R110" s="144"/>
      <c r="S110" s="144"/>
      <c r="T110" s="150"/>
      <c r="U110" s="145"/>
      <c r="V110" s="143"/>
      <c r="W110" s="143"/>
      <c r="X110" s="3"/>
      <c r="AB110" s="148"/>
      <c r="AC110" s="148"/>
    </row>
    <row r="111" spans="5:29" x14ac:dyDescent="0.25">
      <c r="E111" s="138"/>
      <c r="F111" s="173"/>
      <c r="G111" s="138"/>
      <c r="H111" s="115"/>
      <c r="I111" s="115"/>
      <c r="J111" s="115"/>
      <c r="K111" s="115"/>
      <c r="L111" s="115"/>
      <c r="M111" s="149"/>
      <c r="N111" s="149"/>
      <c r="O111" s="144"/>
      <c r="P111" s="143"/>
      <c r="Q111" s="144"/>
      <c r="R111" s="144"/>
      <c r="S111" s="144"/>
      <c r="T111" s="150"/>
      <c r="U111" s="145"/>
      <c r="V111" s="143"/>
      <c r="W111" s="143"/>
      <c r="X111" s="3"/>
      <c r="AB111" s="148"/>
      <c r="AC111" s="148"/>
    </row>
    <row r="112" spans="5:29" x14ac:dyDescent="0.25">
      <c r="E112" s="138"/>
      <c r="F112" s="173"/>
      <c r="G112" s="138"/>
      <c r="H112" s="115"/>
      <c r="I112" s="115"/>
      <c r="J112" s="115"/>
      <c r="K112" s="115"/>
      <c r="L112" s="115"/>
      <c r="M112" s="149"/>
      <c r="N112" s="149"/>
      <c r="O112" s="144"/>
      <c r="P112" s="143"/>
      <c r="Q112" s="144"/>
      <c r="R112" s="144"/>
      <c r="S112" s="144"/>
      <c r="T112" s="150"/>
      <c r="U112" s="145"/>
      <c r="V112" s="143"/>
      <c r="W112" s="143"/>
      <c r="X112" s="3"/>
      <c r="AB112" s="148"/>
      <c r="AC112" s="148"/>
    </row>
    <row r="113" spans="5:29" x14ac:dyDescent="0.25">
      <c r="E113" s="138"/>
      <c r="F113" s="173"/>
      <c r="G113" s="138"/>
      <c r="H113" s="115"/>
      <c r="I113" s="115"/>
      <c r="J113" s="115"/>
      <c r="K113" s="115"/>
      <c r="L113" s="115"/>
      <c r="M113" s="149"/>
      <c r="N113" s="149"/>
      <c r="O113" s="144"/>
      <c r="P113" s="143"/>
      <c r="Q113" s="144"/>
      <c r="R113" s="144"/>
      <c r="S113" s="144"/>
      <c r="T113" s="150"/>
      <c r="U113" s="145"/>
      <c r="V113" s="143"/>
      <c r="W113" s="143"/>
      <c r="X113" s="3"/>
      <c r="AB113" s="148"/>
      <c r="AC113" s="148"/>
    </row>
    <row r="114" spans="5:29" x14ac:dyDescent="0.25">
      <c r="E114" s="138"/>
      <c r="F114" s="173"/>
      <c r="G114" s="138"/>
      <c r="H114" s="115"/>
      <c r="I114" s="115"/>
      <c r="J114" s="115"/>
      <c r="K114" s="115"/>
      <c r="L114" s="115"/>
      <c r="M114" s="149"/>
      <c r="N114" s="149"/>
      <c r="O114" s="144"/>
      <c r="P114" s="143"/>
      <c r="Q114" s="144"/>
      <c r="R114" s="144"/>
      <c r="S114" s="144"/>
      <c r="T114" s="150"/>
      <c r="U114" s="145"/>
      <c r="V114" s="143"/>
      <c r="W114" s="143"/>
      <c r="X114" s="3"/>
      <c r="AB114" s="148"/>
      <c r="AC114" s="148"/>
    </row>
    <row r="115" spans="5:29" x14ac:dyDescent="0.25">
      <c r="E115" s="138"/>
      <c r="F115" s="173"/>
      <c r="G115" s="138"/>
      <c r="H115" s="115"/>
      <c r="I115" s="115"/>
      <c r="J115" s="115"/>
      <c r="K115" s="115"/>
      <c r="L115" s="115"/>
      <c r="M115" s="149"/>
      <c r="N115" s="149"/>
      <c r="O115" s="144"/>
      <c r="P115" s="143"/>
      <c r="Q115" s="144"/>
      <c r="R115" s="144"/>
      <c r="S115" s="144"/>
      <c r="T115" s="150"/>
      <c r="U115" s="145"/>
      <c r="V115" s="143"/>
      <c r="W115" s="143"/>
      <c r="X115" s="3"/>
      <c r="AB115" s="148"/>
      <c r="AC115" s="148"/>
    </row>
    <row r="116" spans="5:29" x14ac:dyDescent="0.25">
      <c r="E116" s="138"/>
      <c r="F116" s="173"/>
      <c r="G116" s="138"/>
      <c r="H116" s="115"/>
      <c r="I116" s="115"/>
      <c r="J116" s="115"/>
      <c r="K116" s="115"/>
      <c r="L116" s="115"/>
      <c r="M116" s="149"/>
      <c r="N116" s="149"/>
      <c r="O116" s="144"/>
      <c r="P116" s="143"/>
      <c r="Q116" s="144"/>
      <c r="R116" s="144"/>
      <c r="S116" s="144"/>
      <c r="T116" s="150"/>
      <c r="U116" s="145"/>
      <c r="V116" s="143"/>
      <c r="W116" s="143"/>
      <c r="X116" s="3"/>
      <c r="AB116" s="148"/>
      <c r="AC116" s="148"/>
    </row>
    <row r="117" spans="5:29" x14ac:dyDescent="0.25">
      <c r="E117" s="138"/>
      <c r="F117" s="173"/>
      <c r="G117" s="138"/>
      <c r="H117" s="115"/>
      <c r="I117" s="115"/>
      <c r="J117" s="115"/>
      <c r="K117" s="115"/>
      <c r="L117" s="115"/>
      <c r="M117" s="149"/>
      <c r="N117" s="149"/>
      <c r="O117" s="144"/>
      <c r="P117" s="143"/>
      <c r="Q117" s="144"/>
      <c r="R117" s="144"/>
      <c r="S117" s="144"/>
      <c r="T117" s="150"/>
      <c r="U117" s="145"/>
      <c r="V117" s="143"/>
      <c r="W117" s="143"/>
      <c r="X117" s="3"/>
      <c r="AB117" s="148"/>
      <c r="AC117" s="148"/>
    </row>
    <row r="118" spans="5:29" x14ac:dyDescent="0.25">
      <c r="E118" s="138"/>
      <c r="F118" s="173"/>
      <c r="G118" s="138"/>
      <c r="H118" s="115"/>
      <c r="I118" s="115"/>
      <c r="J118" s="115"/>
      <c r="K118" s="115"/>
      <c r="L118" s="115"/>
      <c r="M118" s="149"/>
      <c r="N118" s="149"/>
      <c r="O118" s="144"/>
      <c r="P118" s="143"/>
      <c r="Q118" s="144"/>
      <c r="R118" s="144"/>
      <c r="S118" s="144"/>
      <c r="T118" s="150"/>
      <c r="U118" s="145"/>
      <c r="V118" s="143"/>
      <c r="W118" s="143"/>
      <c r="X118" s="3"/>
      <c r="AB118" s="148"/>
      <c r="AC118" s="148"/>
    </row>
    <row r="119" spans="5:29" x14ac:dyDescent="0.25">
      <c r="E119" s="138"/>
      <c r="F119" s="173"/>
      <c r="G119" s="138"/>
      <c r="H119" s="115"/>
      <c r="I119" s="115"/>
      <c r="J119" s="115"/>
      <c r="K119" s="115"/>
      <c r="L119" s="115"/>
      <c r="M119" s="149"/>
      <c r="N119" s="149"/>
      <c r="O119" s="144"/>
      <c r="P119" s="143"/>
      <c r="Q119" s="144"/>
      <c r="R119" s="144"/>
      <c r="S119" s="144"/>
      <c r="T119" s="150"/>
      <c r="U119" s="145"/>
      <c r="V119" s="143"/>
      <c r="W119" s="143"/>
      <c r="X119" s="3"/>
      <c r="AB119" s="148"/>
      <c r="AC119" s="148"/>
    </row>
    <row r="120" spans="5:29" x14ac:dyDescent="0.25">
      <c r="E120" s="138"/>
      <c r="F120" s="173"/>
      <c r="G120" s="138"/>
      <c r="H120" s="115"/>
      <c r="I120" s="115"/>
      <c r="J120" s="115"/>
      <c r="K120" s="115"/>
      <c r="L120" s="115"/>
      <c r="M120" s="149"/>
      <c r="N120" s="149"/>
      <c r="O120" s="144"/>
      <c r="P120" s="143"/>
      <c r="Q120" s="144"/>
      <c r="R120" s="144"/>
      <c r="S120" s="144"/>
      <c r="T120" s="150"/>
      <c r="U120" s="145"/>
      <c r="V120" s="143"/>
      <c r="W120" s="143"/>
      <c r="X120" s="3"/>
      <c r="AB120" s="148"/>
      <c r="AC120" s="148"/>
    </row>
    <row r="121" spans="5:29" x14ac:dyDescent="0.25">
      <c r="E121" s="138"/>
      <c r="F121" s="173"/>
      <c r="G121" s="138"/>
      <c r="H121" s="115"/>
      <c r="I121" s="115"/>
      <c r="J121" s="115"/>
      <c r="K121" s="115"/>
      <c r="L121" s="115"/>
      <c r="M121" s="149"/>
      <c r="N121" s="149"/>
      <c r="O121" s="144"/>
      <c r="P121" s="143"/>
      <c r="Q121" s="144"/>
      <c r="R121" s="144"/>
      <c r="S121" s="144"/>
      <c r="T121" s="150"/>
      <c r="U121" s="145"/>
      <c r="V121" s="143"/>
      <c r="W121" s="143"/>
      <c r="X121" s="3"/>
      <c r="AB121" s="148"/>
      <c r="AC121" s="148"/>
    </row>
    <row r="122" spans="5:29" x14ac:dyDescent="0.25">
      <c r="E122" s="138"/>
      <c r="F122" s="173"/>
      <c r="G122" s="138"/>
      <c r="H122" s="115"/>
      <c r="I122" s="115"/>
      <c r="J122" s="115"/>
      <c r="K122" s="115"/>
      <c r="L122" s="115"/>
      <c r="M122" s="149"/>
      <c r="N122" s="149"/>
      <c r="O122" s="144"/>
      <c r="P122" s="143"/>
      <c r="Q122" s="144"/>
      <c r="R122" s="144"/>
      <c r="S122" s="144"/>
      <c r="T122" s="150"/>
      <c r="U122" s="145"/>
      <c r="V122" s="143"/>
      <c r="W122" s="143"/>
      <c r="X122" s="3"/>
      <c r="AB122" s="148"/>
      <c r="AC122" s="148"/>
    </row>
    <row r="123" spans="5:29" x14ac:dyDescent="0.25">
      <c r="E123" s="138"/>
      <c r="F123" s="173"/>
      <c r="G123" s="138"/>
      <c r="H123" s="115"/>
      <c r="I123" s="115"/>
      <c r="J123" s="115"/>
      <c r="K123" s="115"/>
      <c r="L123" s="115"/>
      <c r="M123" s="149"/>
      <c r="N123" s="149"/>
      <c r="O123" s="144"/>
      <c r="P123" s="143"/>
      <c r="Q123" s="144"/>
      <c r="R123" s="144"/>
      <c r="S123" s="144"/>
      <c r="T123" s="150"/>
      <c r="U123" s="145"/>
      <c r="V123" s="143"/>
      <c r="W123" s="143"/>
      <c r="X123" s="3"/>
      <c r="AB123" s="148"/>
      <c r="AC123" s="148"/>
    </row>
    <row r="124" spans="5:29" x14ac:dyDescent="0.25">
      <c r="E124" s="138"/>
      <c r="F124" s="173"/>
      <c r="G124" s="138"/>
      <c r="H124" s="115"/>
      <c r="I124" s="115"/>
      <c r="J124" s="115"/>
      <c r="K124" s="115"/>
      <c r="L124" s="115"/>
      <c r="M124" s="149"/>
      <c r="N124" s="149"/>
      <c r="O124" s="144"/>
      <c r="P124" s="143"/>
      <c r="Q124" s="144"/>
      <c r="R124" s="144"/>
      <c r="S124" s="144"/>
      <c r="T124" s="150"/>
      <c r="U124" s="145"/>
      <c r="V124" s="143"/>
      <c r="W124" s="143"/>
      <c r="X124" s="3"/>
      <c r="AB124" s="148"/>
      <c r="AC124" s="148"/>
    </row>
    <row r="125" spans="5:29" x14ac:dyDescent="0.25">
      <c r="E125" s="138"/>
      <c r="F125" s="173"/>
      <c r="G125" s="138"/>
      <c r="H125" s="115"/>
      <c r="I125" s="115"/>
      <c r="J125" s="115"/>
      <c r="K125" s="115"/>
      <c r="L125" s="115"/>
      <c r="M125" s="149"/>
      <c r="N125" s="149"/>
      <c r="O125" s="144"/>
      <c r="P125" s="143"/>
      <c r="Q125" s="144"/>
      <c r="R125" s="144"/>
      <c r="S125" s="144"/>
      <c r="T125" s="150"/>
      <c r="U125" s="145"/>
      <c r="V125" s="143"/>
      <c r="W125" s="143"/>
      <c r="X125" s="3"/>
      <c r="AB125" s="148"/>
      <c r="AC125" s="148"/>
    </row>
    <row r="126" spans="5:29" x14ac:dyDescent="0.25">
      <c r="E126" s="138"/>
      <c r="F126" s="173"/>
      <c r="G126" s="138"/>
      <c r="H126" s="115"/>
      <c r="I126" s="115"/>
      <c r="J126" s="115"/>
      <c r="K126" s="115"/>
      <c r="L126" s="115"/>
      <c r="M126" s="149"/>
      <c r="N126" s="149"/>
      <c r="O126" s="144"/>
      <c r="P126" s="143"/>
      <c r="Q126" s="144"/>
      <c r="R126" s="144"/>
      <c r="S126" s="144"/>
      <c r="T126" s="150"/>
      <c r="U126" s="145"/>
      <c r="V126" s="143"/>
      <c r="W126" s="143"/>
      <c r="X126" s="3"/>
      <c r="AB126" s="148"/>
      <c r="AC126" s="148"/>
    </row>
    <row r="127" spans="5:29" x14ac:dyDescent="0.25">
      <c r="E127" s="138"/>
      <c r="F127" s="173"/>
      <c r="G127" s="138"/>
      <c r="H127" s="115"/>
      <c r="I127" s="115"/>
      <c r="J127" s="115"/>
      <c r="K127" s="115"/>
      <c r="L127" s="115"/>
      <c r="M127" s="149"/>
      <c r="N127" s="149"/>
      <c r="O127" s="144"/>
      <c r="P127" s="143"/>
      <c r="Q127" s="144"/>
      <c r="R127" s="144"/>
      <c r="S127" s="144"/>
      <c r="T127" s="150"/>
      <c r="U127" s="145"/>
      <c r="V127" s="143"/>
      <c r="W127" s="143"/>
      <c r="X127" s="3"/>
      <c r="AB127" s="148"/>
      <c r="AC127" s="148"/>
    </row>
    <row r="128" spans="5:29" x14ac:dyDescent="0.25">
      <c r="E128" s="138"/>
      <c r="F128" s="173"/>
      <c r="G128" s="138"/>
      <c r="H128" s="115"/>
      <c r="I128" s="115"/>
      <c r="J128" s="115"/>
      <c r="K128" s="115"/>
      <c r="L128" s="115"/>
      <c r="M128" s="149"/>
      <c r="N128" s="149"/>
      <c r="O128" s="144"/>
      <c r="P128" s="143"/>
      <c r="Q128" s="144"/>
      <c r="R128" s="144"/>
      <c r="S128" s="144"/>
      <c r="T128" s="150"/>
      <c r="U128" s="145"/>
      <c r="V128" s="143"/>
      <c r="W128" s="143"/>
      <c r="X128" s="3"/>
      <c r="AB128" s="148"/>
      <c r="AC128" s="148"/>
    </row>
    <row r="129" spans="5:29" x14ac:dyDescent="0.25">
      <c r="E129" s="138"/>
      <c r="F129" s="173"/>
      <c r="G129" s="138"/>
      <c r="H129" s="115"/>
      <c r="I129" s="115"/>
      <c r="J129" s="115"/>
      <c r="K129" s="115"/>
      <c r="L129" s="115"/>
      <c r="M129" s="149"/>
      <c r="N129" s="149"/>
      <c r="O129" s="144"/>
      <c r="P129" s="143"/>
      <c r="Q129" s="144"/>
      <c r="R129" s="144"/>
      <c r="S129" s="144"/>
      <c r="T129" s="150"/>
      <c r="U129" s="145"/>
      <c r="V129" s="143"/>
      <c r="W129" s="143"/>
      <c r="X129" s="3"/>
      <c r="AB129" s="148"/>
      <c r="AC129" s="148"/>
    </row>
    <row r="130" spans="5:29" x14ac:dyDescent="0.25">
      <c r="E130" s="138"/>
      <c r="F130" s="173"/>
      <c r="G130" s="138"/>
      <c r="H130" s="115"/>
      <c r="I130" s="115"/>
      <c r="J130" s="115"/>
      <c r="K130" s="115"/>
      <c r="L130" s="115"/>
      <c r="M130" s="149"/>
      <c r="N130" s="149"/>
      <c r="O130" s="144"/>
      <c r="P130" s="143"/>
      <c r="Q130" s="144"/>
      <c r="R130" s="144"/>
      <c r="S130" s="144"/>
      <c r="T130" s="150"/>
      <c r="U130" s="145"/>
      <c r="V130" s="143"/>
      <c r="W130" s="143"/>
      <c r="X130" s="3"/>
      <c r="AB130" s="148"/>
      <c r="AC130" s="148"/>
    </row>
    <row r="131" spans="5:29" x14ac:dyDescent="0.25">
      <c r="E131" s="138"/>
      <c r="F131" s="173"/>
      <c r="G131" s="138"/>
      <c r="H131" s="115"/>
      <c r="I131" s="115"/>
      <c r="J131" s="115"/>
      <c r="K131" s="115"/>
      <c r="L131" s="115"/>
      <c r="M131" s="149"/>
      <c r="N131" s="149"/>
      <c r="O131" s="144"/>
      <c r="P131" s="143"/>
      <c r="Q131" s="144"/>
      <c r="R131" s="144"/>
      <c r="S131" s="144"/>
      <c r="T131" s="150"/>
      <c r="U131" s="145"/>
      <c r="V131" s="143"/>
      <c r="W131" s="143"/>
      <c r="X131" s="3"/>
      <c r="AB131" s="148"/>
      <c r="AC131" s="148"/>
    </row>
    <row r="132" spans="5:29" x14ac:dyDescent="0.25">
      <c r="E132" s="138"/>
      <c r="F132" s="173"/>
      <c r="G132" s="138"/>
      <c r="H132" s="115"/>
      <c r="I132" s="115"/>
      <c r="J132" s="115"/>
      <c r="K132" s="115"/>
      <c r="L132" s="115"/>
      <c r="M132" s="149"/>
      <c r="N132" s="149"/>
      <c r="O132" s="144"/>
      <c r="P132" s="143"/>
      <c r="Q132" s="144"/>
      <c r="R132" s="144"/>
      <c r="S132" s="144"/>
      <c r="T132" s="150"/>
      <c r="U132" s="145"/>
      <c r="V132" s="143"/>
      <c r="W132" s="143"/>
      <c r="X132" s="3"/>
      <c r="AB132" s="148"/>
      <c r="AC132" s="148"/>
    </row>
    <row r="133" spans="5:29" x14ac:dyDescent="0.25">
      <c r="E133" s="138"/>
      <c r="F133" s="173"/>
      <c r="G133" s="138"/>
      <c r="H133" s="115"/>
      <c r="I133" s="115"/>
      <c r="J133" s="115"/>
      <c r="K133" s="115"/>
      <c r="L133" s="115"/>
      <c r="M133" s="149"/>
      <c r="N133" s="149"/>
      <c r="O133" s="144"/>
      <c r="P133" s="143"/>
      <c r="Q133" s="144"/>
      <c r="R133" s="144"/>
      <c r="S133" s="144"/>
      <c r="T133" s="150"/>
      <c r="U133" s="145"/>
      <c r="V133" s="143"/>
      <c r="W133" s="143"/>
      <c r="X133" s="3"/>
      <c r="AB133" s="148"/>
      <c r="AC133" s="148"/>
    </row>
    <row r="134" spans="5:29" x14ac:dyDescent="0.25">
      <c r="E134" s="138"/>
      <c r="F134" s="173"/>
      <c r="G134" s="138"/>
      <c r="H134" s="115"/>
      <c r="I134" s="115"/>
      <c r="J134" s="115"/>
      <c r="K134" s="115"/>
      <c r="L134" s="115"/>
      <c r="M134" s="149"/>
      <c r="N134" s="149"/>
      <c r="O134" s="144"/>
      <c r="P134" s="143"/>
      <c r="Q134" s="144"/>
      <c r="R134" s="144"/>
      <c r="S134" s="144"/>
      <c r="T134" s="150"/>
      <c r="U134" s="145"/>
      <c r="V134" s="143"/>
      <c r="W134" s="143"/>
      <c r="X134" s="3"/>
      <c r="AB134" s="148"/>
      <c r="AC134" s="148"/>
    </row>
    <row r="135" spans="5:29" x14ac:dyDescent="0.25">
      <c r="E135" s="138"/>
      <c r="F135" s="173"/>
      <c r="G135" s="138"/>
      <c r="H135" s="115"/>
      <c r="I135" s="115"/>
      <c r="J135" s="115"/>
      <c r="K135" s="115"/>
      <c r="L135" s="115"/>
      <c r="M135" s="149"/>
      <c r="N135" s="149"/>
      <c r="O135" s="144"/>
      <c r="P135" s="143"/>
      <c r="Q135" s="144"/>
      <c r="R135" s="144"/>
      <c r="S135" s="144"/>
      <c r="T135" s="150"/>
      <c r="U135" s="145"/>
      <c r="V135" s="143"/>
      <c r="W135" s="143"/>
      <c r="X135" s="3"/>
      <c r="AB135" s="148"/>
      <c r="AC135" s="148"/>
    </row>
    <row r="136" spans="5:29" x14ac:dyDescent="0.25">
      <c r="E136" s="138"/>
      <c r="F136" s="173"/>
      <c r="G136" s="138"/>
      <c r="H136" s="115"/>
      <c r="I136" s="115"/>
      <c r="J136" s="115"/>
      <c r="K136" s="115"/>
      <c r="L136" s="115"/>
      <c r="M136" s="149"/>
      <c r="N136" s="149"/>
      <c r="O136" s="144"/>
      <c r="P136" s="143"/>
      <c r="Q136" s="144"/>
      <c r="R136" s="144"/>
      <c r="S136" s="144"/>
      <c r="T136" s="150"/>
      <c r="U136" s="145"/>
      <c r="V136" s="143"/>
      <c r="W136" s="143"/>
      <c r="X136" s="3"/>
      <c r="AB136" s="148"/>
      <c r="AC136" s="148"/>
    </row>
    <row r="137" spans="5:29" x14ac:dyDescent="0.25">
      <c r="E137" s="138"/>
      <c r="F137" s="173"/>
      <c r="G137" s="138"/>
      <c r="H137" s="115"/>
      <c r="I137" s="115"/>
      <c r="J137" s="115"/>
      <c r="K137" s="115"/>
      <c r="L137" s="115"/>
      <c r="M137" s="149"/>
      <c r="N137" s="149"/>
      <c r="O137" s="144"/>
      <c r="P137" s="143"/>
      <c r="Q137" s="144"/>
      <c r="R137" s="144"/>
      <c r="S137" s="144"/>
      <c r="T137" s="150"/>
      <c r="U137" s="145"/>
      <c r="V137" s="143"/>
      <c r="W137" s="143"/>
      <c r="X137" s="3"/>
      <c r="AB137" s="148"/>
      <c r="AC137" s="148"/>
    </row>
    <row r="138" spans="5:29" x14ac:dyDescent="0.25">
      <c r="E138" s="138"/>
      <c r="F138" s="173"/>
      <c r="G138" s="138"/>
      <c r="H138" s="115"/>
      <c r="I138" s="115"/>
      <c r="J138" s="115"/>
      <c r="K138" s="115"/>
      <c r="L138" s="115"/>
      <c r="M138" s="149"/>
      <c r="N138" s="149"/>
      <c r="O138" s="144"/>
      <c r="P138" s="143"/>
      <c r="Q138" s="144"/>
      <c r="R138" s="144"/>
      <c r="S138" s="144"/>
      <c r="T138" s="150"/>
      <c r="U138" s="145"/>
      <c r="V138" s="143"/>
      <c r="W138" s="143"/>
      <c r="X138" s="3"/>
      <c r="AB138" s="148"/>
      <c r="AC138" s="148"/>
    </row>
    <row r="139" spans="5:29" x14ac:dyDescent="0.25">
      <c r="E139" s="138"/>
      <c r="F139" s="173"/>
      <c r="G139" s="138"/>
      <c r="H139" s="115"/>
      <c r="I139" s="115"/>
      <c r="J139" s="115"/>
      <c r="K139" s="115"/>
      <c r="L139" s="115"/>
      <c r="M139" s="149"/>
      <c r="N139" s="149"/>
      <c r="O139" s="144"/>
      <c r="P139" s="143"/>
      <c r="Q139" s="144"/>
      <c r="R139" s="144"/>
      <c r="S139" s="144"/>
      <c r="T139" s="150"/>
      <c r="U139" s="145"/>
      <c r="V139" s="143"/>
      <c r="W139" s="143"/>
      <c r="X139" s="3"/>
      <c r="AB139" s="148"/>
      <c r="AC139" s="148"/>
    </row>
    <row r="140" spans="5:29" x14ac:dyDescent="0.25">
      <c r="E140" s="138"/>
      <c r="F140" s="173"/>
      <c r="G140" s="138"/>
      <c r="H140" s="115"/>
      <c r="I140" s="115"/>
      <c r="J140" s="115"/>
      <c r="K140" s="115"/>
      <c r="L140" s="115"/>
      <c r="M140" s="149"/>
      <c r="N140" s="149"/>
      <c r="O140" s="144"/>
      <c r="P140" s="143"/>
      <c r="Q140" s="144"/>
      <c r="R140" s="144"/>
      <c r="S140" s="144"/>
      <c r="T140" s="150"/>
      <c r="U140" s="145"/>
      <c r="V140" s="143"/>
      <c r="W140" s="143"/>
      <c r="X140" s="3"/>
      <c r="AB140" s="148"/>
      <c r="AC140" s="148"/>
    </row>
    <row r="141" spans="5:29" x14ac:dyDescent="0.25">
      <c r="E141" s="138"/>
      <c r="F141" s="173"/>
      <c r="G141" s="138"/>
      <c r="H141" s="115"/>
      <c r="I141" s="115"/>
      <c r="J141" s="115"/>
      <c r="K141" s="115"/>
      <c r="L141" s="115"/>
      <c r="M141" s="149"/>
      <c r="N141" s="149"/>
      <c r="O141" s="144"/>
      <c r="P141" s="143"/>
      <c r="Q141" s="144"/>
      <c r="R141" s="144"/>
      <c r="S141" s="144"/>
      <c r="T141" s="150"/>
      <c r="U141" s="145"/>
      <c r="V141" s="143"/>
      <c r="W141" s="143"/>
      <c r="X141" s="3"/>
      <c r="AB141" s="148"/>
      <c r="AC141" s="148"/>
    </row>
    <row r="142" spans="5:29" x14ac:dyDescent="0.25">
      <c r="E142" s="138"/>
      <c r="F142" s="173"/>
      <c r="G142" s="138"/>
      <c r="H142" s="115"/>
      <c r="I142" s="115"/>
      <c r="J142" s="115"/>
      <c r="K142" s="115"/>
      <c r="L142" s="115"/>
      <c r="M142" s="149"/>
      <c r="N142" s="149"/>
      <c r="O142" s="144"/>
      <c r="P142" s="143"/>
      <c r="Q142" s="144"/>
      <c r="R142" s="144"/>
      <c r="S142" s="144"/>
      <c r="T142" s="150"/>
      <c r="U142" s="145"/>
      <c r="V142" s="143"/>
      <c r="W142" s="143"/>
      <c r="X142" s="3"/>
      <c r="AB142" s="148"/>
      <c r="AC142" s="148"/>
    </row>
    <row r="143" spans="5:29" x14ac:dyDescent="0.25">
      <c r="E143" s="138"/>
      <c r="F143" s="173"/>
      <c r="G143" s="138"/>
      <c r="H143" s="115"/>
      <c r="I143" s="115"/>
      <c r="J143" s="115"/>
      <c r="K143" s="115"/>
      <c r="L143" s="115"/>
      <c r="M143" s="149"/>
      <c r="N143" s="149"/>
      <c r="O143" s="144"/>
      <c r="P143" s="143"/>
      <c r="Q143" s="144"/>
      <c r="R143" s="144"/>
      <c r="S143" s="144"/>
      <c r="T143" s="150"/>
      <c r="U143" s="145"/>
      <c r="V143" s="143"/>
      <c r="W143" s="143"/>
      <c r="X143" s="3"/>
      <c r="AB143" s="148"/>
      <c r="AC143" s="148"/>
    </row>
    <row r="144" spans="5:29" x14ac:dyDescent="0.25">
      <c r="E144" s="138"/>
      <c r="F144" s="173"/>
      <c r="G144" s="138"/>
      <c r="H144" s="115"/>
      <c r="I144" s="115"/>
      <c r="J144" s="115"/>
      <c r="K144" s="115"/>
      <c r="L144" s="115"/>
      <c r="M144" s="149"/>
      <c r="N144" s="149"/>
      <c r="O144" s="144"/>
      <c r="P144" s="143"/>
      <c r="Q144" s="144"/>
      <c r="R144" s="144"/>
      <c r="S144" s="144"/>
      <c r="T144" s="150"/>
      <c r="U144" s="145"/>
      <c r="V144" s="143"/>
      <c r="W144" s="143"/>
      <c r="X144" s="3"/>
      <c r="AB144" s="148"/>
      <c r="AC144" s="148"/>
    </row>
    <row r="145" spans="5:29" x14ac:dyDescent="0.25">
      <c r="E145" s="138"/>
      <c r="F145" s="173"/>
      <c r="G145" s="138"/>
      <c r="H145" s="115"/>
      <c r="I145" s="115"/>
      <c r="J145" s="115"/>
      <c r="K145" s="115"/>
      <c r="L145" s="115"/>
      <c r="M145" s="149"/>
      <c r="N145" s="149"/>
      <c r="O145" s="144"/>
      <c r="P145" s="143"/>
      <c r="Q145" s="144"/>
      <c r="R145" s="144"/>
      <c r="S145" s="144"/>
      <c r="T145" s="150"/>
      <c r="U145" s="145"/>
      <c r="V145" s="143"/>
      <c r="W145" s="143"/>
      <c r="X145" s="3"/>
      <c r="AB145" s="148"/>
      <c r="AC145" s="148"/>
    </row>
    <row r="146" spans="5:29" x14ac:dyDescent="0.25">
      <c r="E146" s="138"/>
      <c r="F146" s="173"/>
      <c r="G146" s="138"/>
      <c r="H146" s="115"/>
      <c r="I146" s="115"/>
      <c r="J146" s="115"/>
      <c r="K146" s="115"/>
      <c r="L146" s="115"/>
      <c r="M146" s="149"/>
      <c r="N146" s="149"/>
      <c r="O146" s="144"/>
      <c r="P146" s="143"/>
      <c r="Q146" s="144"/>
      <c r="R146" s="144"/>
      <c r="S146" s="144"/>
      <c r="T146" s="150"/>
      <c r="U146" s="145"/>
      <c r="V146" s="143"/>
      <c r="W146" s="143"/>
      <c r="X146" s="3"/>
      <c r="AB146" s="148"/>
      <c r="AC146" s="148"/>
    </row>
    <row r="147" spans="5:29" x14ac:dyDescent="0.25">
      <c r="E147" s="138"/>
      <c r="F147" s="173"/>
      <c r="G147" s="138"/>
      <c r="H147" s="115"/>
      <c r="I147" s="115"/>
      <c r="J147" s="115"/>
      <c r="K147" s="115"/>
      <c r="L147" s="115"/>
      <c r="M147" s="149"/>
      <c r="N147" s="149"/>
      <c r="O147" s="144"/>
      <c r="P147" s="143"/>
      <c r="Q147" s="144"/>
      <c r="R147" s="144"/>
      <c r="S147" s="144"/>
      <c r="T147" s="150"/>
      <c r="U147" s="145"/>
      <c r="V147" s="143"/>
      <c r="W147" s="143"/>
      <c r="X147" s="3"/>
      <c r="AB147" s="148"/>
      <c r="AC147" s="148"/>
    </row>
    <row r="148" spans="5:29" x14ac:dyDescent="0.25">
      <c r="E148" s="138"/>
      <c r="F148" s="173"/>
      <c r="G148" s="138"/>
      <c r="H148" s="115"/>
      <c r="I148" s="115"/>
      <c r="J148" s="115"/>
      <c r="K148" s="115"/>
      <c r="L148" s="115"/>
      <c r="M148" s="149"/>
      <c r="N148" s="149"/>
      <c r="O148" s="144"/>
      <c r="P148" s="143"/>
      <c r="Q148" s="144"/>
      <c r="R148" s="144"/>
      <c r="S148" s="144"/>
      <c r="T148" s="150"/>
      <c r="U148" s="145"/>
      <c r="V148" s="143"/>
      <c r="W148" s="143"/>
      <c r="X148" s="3"/>
      <c r="AB148" s="148"/>
      <c r="AC148" s="148"/>
    </row>
    <row r="149" spans="5:29" x14ac:dyDescent="0.25">
      <c r="E149" s="138"/>
      <c r="F149" s="173"/>
      <c r="G149" s="138"/>
      <c r="H149" s="115"/>
      <c r="I149" s="115"/>
      <c r="J149" s="115"/>
      <c r="K149" s="115"/>
      <c r="L149" s="115"/>
      <c r="M149" s="149"/>
      <c r="N149" s="149"/>
      <c r="O149" s="144"/>
      <c r="P149" s="143"/>
      <c r="Q149" s="144"/>
      <c r="R149" s="144"/>
      <c r="S149" s="144"/>
      <c r="T149" s="150"/>
      <c r="U149" s="145"/>
      <c r="V149" s="143"/>
      <c r="W149" s="143"/>
      <c r="X149" s="3"/>
      <c r="AB149" s="148"/>
      <c r="AC149" s="148"/>
    </row>
    <row r="150" spans="5:29" x14ac:dyDescent="0.25">
      <c r="E150" s="138"/>
      <c r="F150" s="173"/>
      <c r="G150" s="138"/>
      <c r="H150" s="115"/>
      <c r="I150" s="115"/>
      <c r="J150" s="115"/>
      <c r="K150" s="115"/>
      <c r="L150" s="115"/>
      <c r="M150" s="149"/>
      <c r="N150" s="149"/>
      <c r="O150" s="144"/>
      <c r="P150" s="143"/>
      <c r="Q150" s="144"/>
      <c r="R150" s="144"/>
      <c r="S150" s="144"/>
      <c r="T150" s="150"/>
      <c r="U150" s="145"/>
      <c r="V150" s="143"/>
      <c r="W150" s="143"/>
      <c r="X150" s="3"/>
      <c r="AB150" s="148"/>
      <c r="AC150" s="148"/>
    </row>
    <row r="151" spans="5:29" x14ac:dyDescent="0.25">
      <c r="E151" s="138"/>
      <c r="F151" s="173"/>
      <c r="G151" s="138"/>
      <c r="H151" s="115"/>
      <c r="I151" s="115"/>
      <c r="J151" s="115"/>
      <c r="K151" s="115"/>
      <c r="L151" s="115"/>
      <c r="M151" s="149"/>
      <c r="N151" s="149"/>
      <c r="O151" s="144"/>
      <c r="P151" s="143"/>
      <c r="Q151" s="144"/>
      <c r="R151" s="144"/>
      <c r="S151" s="144"/>
      <c r="T151" s="150"/>
      <c r="U151" s="145"/>
      <c r="V151" s="143"/>
      <c r="W151" s="143"/>
      <c r="X151" s="3"/>
      <c r="AB151" s="148"/>
      <c r="AC151" s="148"/>
    </row>
    <row r="152" spans="5:29" x14ac:dyDescent="0.25">
      <c r="E152" s="138"/>
      <c r="F152" s="173"/>
      <c r="G152" s="138"/>
      <c r="H152" s="115"/>
      <c r="I152" s="115"/>
      <c r="J152" s="115"/>
      <c r="K152" s="115"/>
      <c r="L152" s="115"/>
      <c r="M152" s="149"/>
      <c r="N152" s="149"/>
      <c r="O152" s="144"/>
      <c r="P152" s="143"/>
      <c r="Q152" s="144"/>
      <c r="R152" s="144"/>
      <c r="S152" s="144"/>
      <c r="T152" s="150"/>
      <c r="U152" s="145"/>
      <c r="V152" s="143"/>
      <c r="W152" s="143"/>
      <c r="X152" s="3"/>
      <c r="AB152" s="148"/>
      <c r="AC152" s="148"/>
    </row>
    <row r="153" spans="5:29" x14ac:dyDescent="0.25">
      <c r="E153" s="138"/>
      <c r="F153" s="173"/>
      <c r="G153" s="138"/>
      <c r="H153" s="115"/>
      <c r="I153" s="115"/>
      <c r="J153" s="115"/>
      <c r="K153" s="115"/>
      <c r="L153" s="115"/>
      <c r="M153" s="149"/>
      <c r="N153" s="149"/>
      <c r="O153" s="144"/>
      <c r="P153" s="143"/>
      <c r="Q153" s="144"/>
      <c r="R153" s="144"/>
      <c r="S153" s="144"/>
      <c r="T153" s="150"/>
      <c r="U153" s="145"/>
      <c r="V153" s="143"/>
      <c r="W153" s="143"/>
      <c r="X153" s="3"/>
      <c r="AB153" s="148"/>
      <c r="AC153" s="148"/>
    </row>
    <row r="154" spans="5:29" x14ac:dyDescent="0.25">
      <c r="E154" s="138"/>
      <c r="F154" s="173"/>
      <c r="G154" s="138"/>
      <c r="H154" s="115"/>
      <c r="I154" s="115"/>
      <c r="J154" s="115"/>
      <c r="K154" s="115"/>
      <c r="L154" s="115"/>
      <c r="M154" s="149"/>
      <c r="N154" s="149"/>
      <c r="O154" s="144"/>
      <c r="P154" s="143"/>
      <c r="Q154" s="144"/>
      <c r="R154" s="144"/>
      <c r="S154" s="144"/>
      <c r="T154" s="150"/>
      <c r="U154" s="145"/>
      <c r="V154" s="143"/>
      <c r="W154" s="143"/>
      <c r="X154" s="3"/>
      <c r="AB154" s="148"/>
      <c r="AC154" s="148"/>
    </row>
    <row r="155" spans="5:29" x14ac:dyDescent="0.25">
      <c r="E155" s="138"/>
      <c r="F155" s="173"/>
      <c r="G155" s="138"/>
      <c r="H155" s="115"/>
      <c r="I155" s="115"/>
      <c r="J155" s="115"/>
      <c r="K155" s="115"/>
      <c r="L155" s="115"/>
      <c r="M155" s="149"/>
      <c r="N155" s="149"/>
      <c r="O155" s="144"/>
      <c r="P155" s="143"/>
      <c r="Q155" s="144"/>
      <c r="R155" s="144"/>
      <c r="S155" s="144"/>
      <c r="T155" s="150"/>
      <c r="U155" s="145"/>
      <c r="V155" s="143"/>
      <c r="W155" s="143"/>
      <c r="X155" s="3"/>
      <c r="AB155" s="148"/>
      <c r="AC155" s="148"/>
    </row>
    <row r="156" spans="5:29" x14ac:dyDescent="0.25">
      <c r="E156" s="138"/>
      <c r="F156" s="173"/>
      <c r="G156" s="138"/>
      <c r="H156" s="115"/>
      <c r="I156" s="115"/>
      <c r="J156" s="115"/>
      <c r="K156" s="115"/>
      <c r="L156" s="115"/>
      <c r="M156" s="149"/>
      <c r="N156" s="149"/>
      <c r="O156" s="144"/>
      <c r="P156" s="143"/>
      <c r="Q156" s="144"/>
      <c r="R156" s="144"/>
      <c r="S156" s="144"/>
      <c r="T156" s="150"/>
      <c r="U156" s="145"/>
      <c r="V156" s="143"/>
      <c r="W156" s="143"/>
      <c r="X156" s="3"/>
      <c r="AB156" s="148"/>
      <c r="AC156" s="148"/>
    </row>
    <row r="157" spans="5:29" x14ac:dyDescent="0.25">
      <c r="E157" s="138"/>
      <c r="F157" s="173"/>
      <c r="G157" s="138"/>
      <c r="H157" s="115"/>
      <c r="I157" s="115"/>
      <c r="J157" s="115"/>
      <c r="K157" s="115"/>
      <c r="L157" s="115"/>
      <c r="M157" s="149"/>
      <c r="N157" s="149"/>
      <c r="O157" s="144"/>
      <c r="P157" s="143"/>
      <c r="Q157" s="144"/>
      <c r="R157" s="144"/>
      <c r="S157" s="144"/>
      <c r="T157" s="150"/>
      <c r="U157" s="145"/>
      <c r="V157" s="143"/>
      <c r="W157" s="143"/>
      <c r="X157" s="3"/>
      <c r="AB157" s="148"/>
      <c r="AC157" s="148"/>
    </row>
    <row r="158" spans="5:29" x14ac:dyDescent="0.25">
      <c r="E158" s="138"/>
      <c r="F158" s="173"/>
      <c r="G158" s="138"/>
      <c r="H158" s="115"/>
      <c r="I158" s="115"/>
      <c r="J158" s="115"/>
      <c r="K158" s="115"/>
      <c r="L158" s="115"/>
      <c r="M158" s="149"/>
      <c r="N158" s="149"/>
      <c r="O158" s="144"/>
      <c r="P158" s="143"/>
      <c r="Q158" s="144"/>
      <c r="R158" s="144"/>
      <c r="S158" s="144"/>
      <c r="T158" s="150"/>
      <c r="U158" s="145"/>
      <c r="V158" s="143"/>
      <c r="W158" s="143"/>
      <c r="X158" s="3"/>
      <c r="AB158" s="148"/>
      <c r="AC158" s="148"/>
    </row>
    <row r="159" spans="5:29" x14ac:dyDescent="0.25">
      <c r="E159" s="138"/>
      <c r="F159" s="173"/>
      <c r="G159" s="138"/>
      <c r="H159" s="115"/>
      <c r="I159" s="115"/>
      <c r="J159" s="115"/>
      <c r="K159" s="115"/>
      <c r="L159" s="115"/>
      <c r="M159" s="149"/>
      <c r="N159" s="149"/>
      <c r="O159" s="144"/>
      <c r="P159" s="143"/>
      <c r="Q159" s="144"/>
      <c r="R159" s="144"/>
      <c r="S159" s="144"/>
      <c r="T159" s="150"/>
      <c r="U159" s="145"/>
      <c r="V159" s="143"/>
      <c r="W159" s="143"/>
      <c r="X159" s="3"/>
      <c r="AB159" s="148"/>
      <c r="AC159" s="148"/>
    </row>
    <row r="160" spans="5:29" x14ac:dyDescent="0.25">
      <c r="E160" s="138"/>
      <c r="F160" s="173"/>
      <c r="G160" s="138"/>
      <c r="H160" s="115"/>
      <c r="I160" s="115"/>
      <c r="J160" s="115"/>
      <c r="K160" s="115"/>
      <c r="L160" s="115"/>
      <c r="M160" s="149"/>
      <c r="N160" s="149"/>
      <c r="O160" s="144"/>
      <c r="P160" s="143"/>
      <c r="Q160" s="144"/>
      <c r="R160" s="144"/>
      <c r="S160" s="144"/>
      <c r="T160" s="150"/>
      <c r="U160" s="145"/>
      <c r="V160" s="143"/>
      <c r="W160" s="143"/>
      <c r="X160" s="3"/>
      <c r="AB160" s="148"/>
      <c r="AC160" s="148"/>
    </row>
    <row r="161" spans="5:29" x14ac:dyDescent="0.25">
      <c r="E161" s="138"/>
      <c r="F161" s="173"/>
      <c r="G161" s="138"/>
      <c r="H161" s="115"/>
      <c r="I161" s="115"/>
      <c r="J161" s="115"/>
      <c r="K161" s="115"/>
      <c r="L161" s="115"/>
      <c r="M161" s="149"/>
      <c r="N161" s="149"/>
      <c r="O161" s="144"/>
      <c r="P161" s="143"/>
      <c r="Q161" s="144"/>
      <c r="R161" s="144"/>
      <c r="S161" s="144"/>
      <c r="T161" s="150"/>
      <c r="U161" s="145"/>
      <c r="V161" s="143"/>
      <c r="W161" s="143"/>
      <c r="X161" s="3"/>
      <c r="AB161" s="148"/>
      <c r="AC161" s="148"/>
    </row>
    <row r="162" spans="5:29" x14ac:dyDescent="0.25">
      <c r="E162" s="138"/>
      <c r="F162" s="173"/>
      <c r="G162" s="138"/>
      <c r="H162" s="115"/>
      <c r="I162" s="115"/>
      <c r="J162" s="115"/>
      <c r="K162" s="115"/>
      <c r="L162" s="115"/>
      <c r="M162" s="149"/>
      <c r="N162" s="149"/>
      <c r="O162" s="144"/>
      <c r="P162" s="143"/>
      <c r="Q162" s="144"/>
      <c r="R162" s="144"/>
      <c r="S162" s="144"/>
      <c r="T162" s="150"/>
      <c r="U162" s="145"/>
      <c r="V162" s="143"/>
      <c r="W162" s="143"/>
      <c r="X162" s="3"/>
      <c r="AB162" s="148"/>
      <c r="AC162" s="148"/>
    </row>
    <row r="163" spans="5:29" x14ac:dyDescent="0.25">
      <c r="E163" s="138"/>
      <c r="F163" s="173"/>
      <c r="G163" s="138"/>
      <c r="H163" s="115"/>
      <c r="I163" s="115"/>
      <c r="J163" s="115"/>
      <c r="K163" s="115"/>
      <c r="L163" s="115"/>
      <c r="M163" s="149"/>
      <c r="N163" s="149"/>
      <c r="O163" s="144"/>
      <c r="P163" s="143"/>
      <c r="Q163" s="144"/>
      <c r="R163" s="144"/>
      <c r="S163" s="144"/>
      <c r="T163" s="150"/>
      <c r="U163" s="145"/>
      <c r="V163" s="143"/>
      <c r="W163" s="143"/>
      <c r="X163" s="3"/>
      <c r="AB163" s="148"/>
      <c r="AC163" s="148"/>
    </row>
    <row r="164" spans="5:29" x14ac:dyDescent="0.25">
      <c r="E164" s="138"/>
      <c r="F164" s="173"/>
      <c r="G164" s="138"/>
      <c r="H164" s="115"/>
      <c r="I164" s="115"/>
      <c r="J164" s="115"/>
      <c r="K164" s="115"/>
      <c r="L164" s="115"/>
      <c r="M164" s="149"/>
      <c r="N164" s="149"/>
      <c r="O164" s="144"/>
      <c r="P164" s="143"/>
      <c r="Q164" s="144"/>
      <c r="R164" s="144"/>
      <c r="S164" s="144"/>
      <c r="T164" s="150"/>
      <c r="U164" s="145"/>
      <c r="V164" s="143"/>
      <c r="W164" s="143"/>
      <c r="X164" s="3"/>
      <c r="AB164" s="148"/>
      <c r="AC164" s="148"/>
    </row>
    <row r="165" spans="5:29" x14ac:dyDescent="0.25">
      <c r="E165" s="138"/>
      <c r="F165" s="173"/>
      <c r="G165" s="138"/>
      <c r="H165" s="115"/>
      <c r="I165" s="115"/>
      <c r="J165" s="115"/>
      <c r="K165" s="115"/>
      <c r="L165" s="115"/>
      <c r="M165" s="149"/>
      <c r="N165" s="149"/>
      <c r="O165" s="144"/>
      <c r="P165" s="143"/>
      <c r="Q165" s="144"/>
      <c r="R165" s="144"/>
      <c r="S165" s="144"/>
      <c r="T165" s="150"/>
      <c r="U165" s="145"/>
      <c r="V165" s="143"/>
      <c r="W165" s="143"/>
      <c r="X165" s="3"/>
      <c r="AB165" s="148"/>
      <c r="AC165" s="148"/>
    </row>
    <row r="166" spans="5:29" x14ac:dyDescent="0.25">
      <c r="E166" s="138"/>
      <c r="F166" s="173"/>
      <c r="G166" s="138"/>
      <c r="H166" s="115"/>
      <c r="I166" s="115"/>
      <c r="J166" s="115"/>
      <c r="K166" s="115"/>
      <c r="L166" s="115"/>
      <c r="M166" s="149"/>
      <c r="N166" s="149"/>
      <c r="O166" s="144"/>
      <c r="P166" s="143"/>
      <c r="Q166" s="144"/>
      <c r="R166" s="144"/>
      <c r="S166" s="144"/>
      <c r="T166" s="150"/>
      <c r="U166" s="145"/>
      <c r="V166" s="143"/>
      <c r="W166" s="143"/>
      <c r="X166" s="3"/>
      <c r="AB166" s="148"/>
      <c r="AC166" s="148"/>
    </row>
    <row r="167" spans="5:29" x14ac:dyDescent="0.25">
      <c r="E167" s="138"/>
      <c r="F167" s="173"/>
      <c r="G167" s="138"/>
      <c r="H167" s="115"/>
      <c r="I167" s="115"/>
      <c r="J167" s="115"/>
      <c r="K167" s="115"/>
      <c r="L167" s="115"/>
      <c r="M167" s="149"/>
      <c r="N167" s="149"/>
      <c r="O167" s="144"/>
      <c r="P167" s="143"/>
      <c r="Q167" s="144"/>
      <c r="R167" s="144"/>
      <c r="S167" s="144"/>
      <c r="T167" s="150"/>
      <c r="U167" s="145"/>
      <c r="V167" s="143"/>
      <c r="W167" s="143"/>
      <c r="X167" s="3"/>
      <c r="AB167" s="148"/>
      <c r="AC167" s="148"/>
    </row>
    <row r="168" spans="5:29" x14ac:dyDescent="0.25">
      <c r="E168" s="138"/>
      <c r="F168" s="173"/>
      <c r="G168" s="138"/>
      <c r="H168" s="115"/>
      <c r="I168" s="115"/>
      <c r="J168" s="115"/>
      <c r="K168" s="115"/>
      <c r="L168" s="115"/>
      <c r="M168" s="149"/>
      <c r="N168" s="149"/>
      <c r="O168" s="144"/>
      <c r="P168" s="143"/>
      <c r="Q168" s="144"/>
      <c r="R168" s="144"/>
      <c r="S168" s="144"/>
      <c r="T168" s="150"/>
      <c r="U168" s="145"/>
      <c r="V168" s="143"/>
      <c r="W168" s="143"/>
      <c r="X168" s="3"/>
      <c r="AB168" s="148"/>
      <c r="AC168" s="148"/>
    </row>
    <row r="169" spans="5:29" x14ac:dyDescent="0.25">
      <c r="E169" s="138"/>
      <c r="F169" s="173"/>
      <c r="G169" s="138"/>
      <c r="H169" s="115"/>
      <c r="I169" s="115"/>
      <c r="J169" s="115"/>
      <c r="K169" s="115"/>
      <c r="L169" s="115"/>
      <c r="M169" s="149"/>
      <c r="N169" s="149"/>
      <c r="O169" s="144"/>
      <c r="P169" s="143"/>
      <c r="Q169" s="144"/>
      <c r="R169" s="144"/>
      <c r="S169" s="144"/>
      <c r="T169" s="150"/>
      <c r="U169" s="145"/>
      <c r="V169" s="143"/>
      <c r="W169" s="143"/>
      <c r="X169" s="3"/>
      <c r="AB169" s="148"/>
      <c r="AC169" s="148"/>
    </row>
    <row r="170" spans="5:29" x14ac:dyDescent="0.25">
      <c r="E170" s="138"/>
      <c r="F170" s="173"/>
      <c r="G170" s="138"/>
      <c r="H170" s="115"/>
      <c r="I170" s="115"/>
      <c r="J170" s="115"/>
      <c r="K170" s="115"/>
      <c r="L170" s="115"/>
      <c r="M170" s="149"/>
      <c r="N170" s="149"/>
      <c r="O170" s="144"/>
      <c r="P170" s="143"/>
      <c r="Q170" s="144"/>
      <c r="R170" s="144"/>
      <c r="S170" s="144"/>
      <c r="T170" s="150"/>
      <c r="U170" s="145"/>
      <c r="V170" s="143"/>
      <c r="W170" s="143"/>
      <c r="X170" s="3"/>
      <c r="AB170" s="148"/>
      <c r="AC170" s="148"/>
    </row>
    <row r="171" spans="5:29" x14ac:dyDescent="0.25">
      <c r="E171" s="138"/>
      <c r="F171" s="173"/>
      <c r="G171" s="138"/>
      <c r="H171" s="115"/>
      <c r="I171" s="115"/>
      <c r="J171" s="115"/>
      <c r="K171" s="115"/>
      <c r="L171" s="115"/>
      <c r="M171" s="149"/>
      <c r="N171" s="149"/>
      <c r="O171" s="144"/>
      <c r="P171" s="143"/>
      <c r="Q171" s="144"/>
      <c r="R171" s="144"/>
      <c r="S171" s="144"/>
      <c r="T171" s="150"/>
      <c r="U171" s="145"/>
      <c r="V171" s="143"/>
      <c r="W171" s="143"/>
      <c r="X171" s="3"/>
      <c r="AB171" s="148"/>
      <c r="AC171" s="148"/>
    </row>
    <row r="172" spans="5:29" x14ac:dyDescent="0.25">
      <c r="E172" s="138"/>
      <c r="F172" s="173"/>
      <c r="G172" s="138"/>
      <c r="H172" s="115"/>
      <c r="I172" s="115"/>
      <c r="J172" s="115"/>
      <c r="K172" s="115"/>
      <c r="L172" s="115"/>
      <c r="M172" s="149"/>
      <c r="N172" s="149"/>
      <c r="O172" s="144"/>
      <c r="P172" s="143"/>
      <c r="Q172" s="144"/>
      <c r="R172" s="144"/>
      <c r="S172" s="144"/>
      <c r="T172" s="150"/>
      <c r="U172" s="145"/>
      <c r="V172" s="143"/>
      <c r="W172" s="143"/>
      <c r="X172" s="3"/>
      <c r="AB172" s="148"/>
      <c r="AC172" s="148"/>
    </row>
    <row r="173" spans="5:29" x14ac:dyDescent="0.25">
      <c r="E173" s="138"/>
      <c r="F173" s="173"/>
      <c r="G173" s="138"/>
      <c r="H173" s="115"/>
      <c r="I173" s="115"/>
      <c r="J173" s="115"/>
      <c r="K173" s="115"/>
      <c r="L173" s="115"/>
      <c r="M173" s="149"/>
      <c r="N173" s="149"/>
      <c r="O173" s="144"/>
      <c r="P173" s="143"/>
      <c r="Q173" s="144"/>
      <c r="R173" s="144"/>
      <c r="S173" s="144"/>
      <c r="T173" s="150"/>
      <c r="U173" s="145"/>
      <c r="V173" s="143"/>
      <c r="W173" s="143"/>
      <c r="X173" s="3"/>
      <c r="AB173" s="148"/>
      <c r="AC173" s="148"/>
    </row>
    <row r="174" spans="5:29" x14ac:dyDescent="0.25">
      <c r="E174" s="138"/>
      <c r="F174" s="173"/>
      <c r="G174" s="138"/>
      <c r="H174" s="115"/>
      <c r="I174" s="115"/>
      <c r="J174" s="115"/>
      <c r="K174" s="115"/>
      <c r="L174" s="115"/>
      <c r="M174" s="149"/>
      <c r="N174" s="149"/>
      <c r="O174" s="144"/>
      <c r="P174" s="143"/>
      <c r="Q174" s="144"/>
      <c r="R174" s="144"/>
      <c r="S174" s="144"/>
      <c r="T174" s="150"/>
      <c r="U174" s="145"/>
      <c r="V174" s="143"/>
      <c r="W174" s="143"/>
      <c r="X174" s="3"/>
      <c r="AB174" s="148"/>
      <c r="AC174" s="148"/>
    </row>
    <row r="175" spans="5:29" x14ac:dyDescent="0.25">
      <c r="E175" s="138"/>
      <c r="F175" s="173"/>
      <c r="G175" s="138"/>
      <c r="H175" s="115"/>
      <c r="I175" s="115"/>
      <c r="J175" s="115"/>
      <c r="K175" s="115"/>
      <c r="L175" s="115"/>
      <c r="M175" s="149"/>
      <c r="N175" s="149"/>
      <c r="O175" s="144"/>
      <c r="P175" s="143"/>
      <c r="Q175" s="144"/>
      <c r="R175" s="144"/>
      <c r="S175" s="144"/>
      <c r="T175" s="150"/>
      <c r="U175" s="145"/>
      <c r="V175" s="143"/>
      <c r="W175" s="143"/>
      <c r="X175" s="3"/>
      <c r="AB175" s="148"/>
      <c r="AC175" s="148"/>
    </row>
    <row r="176" spans="5:29" x14ac:dyDescent="0.25">
      <c r="E176" s="138"/>
      <c r="F176" s="173"/>
      <c r="G176" s="138"/>
      <c r="H176" s="115"/>
      <c r="I176" s="115"/>
      <c r="J176" s="115"/>
      <c r="K176" s="115"/>
      <c r="L176" s="115"/>
      <c r="M176" s="149"/>
      <c r="N176" s="149"/>
      <c r="O176" s="144"/>
      <c r="P176" s="143"/>
      <c r="Q176" s="144"/>
      <c r="R176" s="144"/>
      <c r="S176" s="144"/>
      <c r="T176" s="150"/>
      <c r="U176" s="145"/>
      <c r="V176" s="143"/>
      <c r="W176" s="143"/>
      <c r="X176" s="3"/>
      <c r="AB176" s="148"/>
      <c r="AC176" s="148"/>
    </row>
    <row r="177" spans="5:29" x14ac:dyDescent="0.25">
      <c r="E177" s="138"/>
      <c r="F177" s="173"/>
      <c r="G177" s="138"/>
      <c r="H177" s="115"/>
      <c r="I177" s="115"/>
      <c r="J177" s="115"/>
      <c r="K177" s="115"/>
      <c r="L177" s="115"/>
      <c r="M177" s="149"/>
      <c r="N177" s="149"/>
      <c r="O177" s="144"/>
      <c r="P177" s="143"/>
      <c r="Q177" s="144"/>
      <c r="R177" s="144"/>
      <c r="S177" s="144"/>
      <c r="T177" s="150"/>
      <c r="U177" s="145"/>
      <c r="V177" s="143"/>
      <c r="W177" s="143"/>
      <c r="X177" s="3"/>
      <c r="AB177" s="148"/>
      <c r="AC177" s="148"/>
    </row>
    <row r="178" spans="5:29" x14ac:dyDescent="0.25">
      <c r="E178" s="138"/>
      <c r="F178" s="173"/>
      <c r="G178" s="138"/>
      <c r="H178" s="115"/>
      <c r="I178" s="115"/>
      <c r="J178" s="115"/>
      <c r="K178" s="115"/>
      <c r="L178" s="115"/>
      <c r="M178" s="149"/>
      <c r="N178" s="149"/>
      <c r="O178" s="144"/>
      <c r="P178" s="143"/>
      <c r="Q178" s="144"/>
      <c r="R178" s="144"/>
      <c r="S178" s="144"/>
      <c r="T178" s="150"/>
      <c r="U178" s="145"/>
      <c r="V178" s="143"/>
      <c r="W178" s="143"/>
      <c r="X178" s="3"/>
      <c r="AB178" s="148"/>
      <c r="AC178" s="148"/>
    </row>
    <row r="179" spans="5:29" x14ac:dyDescent="0.25">
      <c r="E179" s="138"/>
      <c r="F179" s="173"/>
      <c r="G179" s="138"/>
      <c r="H179" s="115"/>
      <c r="I179" s="115"/>
      <c r="J179" s="115"/>
      <c r="K179" s="115"/>
      <c r="L179" s="115"/>
      <c r="M179" s="149"/>
      <c r="N179" s="149"/>
      <c r="O179" s="144"/>
      <c r="P179" s="143"/>
      <c r="Q179" s="144"/>
      <c r="R179" s="144"/>
      <c r="S179" s="144"/>
      <c r="T179" s="150"/>
      <c r="U179" s="145"/>
      <c r="V179" s="143"/>
      <c r="W179" s="143"/>
      <c r="X179" s="3"/>
      <c r="AB179" s="148"/>
      <c r="AC179" s="148"/>
    </row>
    <row r="180" spans="5:29" x14ac:dyDescent="0.25">
      <c r="E180" s="138"/>
      <c r="F180" s="173"/>
      <c r="G180" s="138"/>
      <c r="H180" s="115"/>
      <c r="I180" s="115"/>
      <c r="J180" s="115"/>
      <c r="K180" s="115"/>
      <c r="L180" s="115"/>
      <c r="M180" s="149"/>
      <c r="N180" s="149"/>
      <c r="O180" s="144"/>
      <c r="P180" s="143"/>
      <c r="Q180" s="144"/>
      <c r="R180" s="144"/>
      <c r="S180" s="144"/>
      <c r="T180" s="150"/>
      <c r="U180" s="145"/>
      <c r="V180" s="143"/>
      <c r="W180" s="143"/>
      <c r="X180" s="3"/>
      <c r="AB180" s="148"/>
      <c r="AC180" s="148"/>
    </row>
    <row r="181" spans="5:29" x14ac:dyDescent="0.25">
      <c r="E181" s="138"/>
      <c r="F181" s="173"/>
      <c r="G181" s="138"/>
      <c r="H181" s="115"/>
      <c r="I181" s="115"/>
      <c r="J181" s="115"/>
      <c r="K181" s="115"/>
      <c r="L181" s="115"/>
      <c r="M181" s="149"/>
      <c r="N181" s="149"/>
      <c r="O181" s="144"/>
      <c r="P181" s="143"/>
      <c r="Q181" s="144"/>
      <c r="R181" s="144"/>
      <c r="S181" s="144"/>
      <c r="T181" s="150"/>
      <c r="U181" s="145"/>
      <c r="V181" s="143"/>
      <c r="W181" s="143"/>
      <c r="X181" s="3"/>
      <c r="AB181" s="148"/>
      <c r="AC181" s="148"/>
    </row>
    <row r="182" spans="5:29" x14ac:dyDescent="0.25">
      <c r="E182" s="138"/>
      <c r="F182" s="173"/>
      <c r="G182" s="138"/>
      <c r="H182" s="115"/>
      <c r="I182" s="115"/>
      <c r="J182" s="115"/>
      <c r="K182" s="115"/>
      <c r="L182" s="115"/>
      <c r="M182" s="149"/>
      <c r="N182" s="149"/>
      <c r="O182" s="144"/>
      <c r="P182" s="143"/>
      <c r="Q182" s="144"/>
      <c r="R182" s="144"/>
      <c r="S182" s="144"/>
      <c r="T182" s="150"/>
      <c r="U182" s="145"/>
      <c r="V182" s="143"/>
      <c r="W182" s="143"/>
      <c r="X182" s="3"/>
      <c r="AB182" s="148"/>
      <c r="AC182" s="148"/>
    </row>
    <row r="183" spans="5:29" x14ac:dyDescent="0.25">
      <c r="E183" s="138"/>
      <c r="F183" s="173"/>
      <c r="G183" s="138"/>
      <c r="H183" s="115"/>
      <c r="I183" s="115"/>
      <c r="J183" s="115"/>
      <c r="K183" s="115"/>
      <c r="L183" s="115"/>
      <c r="M183" s="149"/>
      <c r="N183" s="149"/>
      <c r="O183" s="144"/>
      <c r="P183" s="143"/>
      <c r="Q183" s="144"/>
      <c r="R183" s="144"/>
      <c r="S183" s="144"/>
      <c r="T183" s="150"/>
      <c r="U183" s="145"/>
      <c r="V183" s="143"/>
      <c r="W183" s="143"/>
      <c r="X183" s="3"/>
      <c r="AB183" s="148"/>
      <c r="AC183" s="148"/>
    </row>
    <row r="184" spans="5:29" x14ac:dyDescent="0.25">
      <c r="E184" s="138"/>
      <c r="F184" s="173"/>
      <c r="G184" s="138"/>
      <c r="H184" s="115"/>
      <c r="I184" s="115"/>
      <c r="J184" s="115"/>
      <c r="K184" s="115"/>
      <c r="L184" s="115"/>
      <c r="M184" s="149"/>
      <c r="N184" s="149"/>
      <c r="O184" s="144"/>
      <c r="P184" s="143"/>
      <c r="Q184" s="144"/>
      <c r="R184" s="144"/>
      <c r="S184" s="144"/>
      <c r="T184" s="150"/>
      <c r="U184" s="145"/>
      <c r="V184" s="143"/>
      <c r="W184" s="143"/>
      <c r="X184" s="3"/>
      <c r="AB184" s="148"/>
      <c r="AC184" s="148"/>
    </row>
    <row r="185" spans="5:29" x14ac:dyDescent="0.25">
      <c r="E185" s="138"/>
      <c r="F185" s="173"/>
      <c r="G185" s="138"/>
      <c r="H185" s="115"/>
      <c r="I185" s="115"/>
      <c r="J185" s="115"/>
      <c r="K185" s="115"/>
      <c r="L185" s="115"/>
      <c r="M185" s="149"/>
      <c r="N185" s="149"/>
      <c r="O185" s="144"/>
      <c r="P185" s="143"/>
      <c r="Q185" s="144"/>
      <c r="R185" s="144"/>
      <c r="S185" s="144"/>
      <c r="T185" s="150"/>
      <c r="U185" s="145"/>
      <c r="V185" s="143"/>
      <c r="W185" s="143"/>
      <c r="X185" s="3"/>
      <c r="AB185" s="148"/>
      <c r="AC185" s="148"/>
    </row>
    <row r="186" spans="5:29" x14ac:dyDescent="0.25">
      <c r="E186" s="138"/>
      <c r="F186" s="173"/>
      <c r="G186" s="138"/>
      <c r="H186" s="115"/>
      <c r="I186" s="115"/>
      <c r="J186" s="115"/>
      <c r="K186" s="115"/>
      <c r="L186" s="115"/>
      <c r="M186" s="149"/>
      <c r="N186" s="149"/>
      <c r="O186" s="144"/>
      <c r="P186" s="143"/>
      <c r="Q186" s="144"/>
      <c r="R186" s="144"/>
      <c r="S186" s="144"/>
      <c r="T186" s="150"/>
      <c r="U186" s="145"/>
      <c r="V186" s="143"/>
      <c r="W186" s="143"/>
      <c r="X186" s="3"/>
      <c r="AB186" s="148"/>
      <c r="AC186" s="148"/>
    </row>
    <row r="187" spans="5:29" x14ac:dyDescent="0.25">
      <c r="E187" s="138"/>
      <c r="F187" s="173"/>
      <c r="G187" s="138"/>
      <c r="H187" s="115"/>
      <c r="I187" s="115"/>
      <c r="J187" s="115"/>
      <c r="K187" s="115"/>
      <c r="L187" s="115"/>
      <c r="M187" s="149"/>
      <c r="N187" s="149"/>
      <c r="O187" s="144"/>
      <c r="P187" s="143"/>
      <c r="Q187" s="144"/>
      <c r="R187" s="144"/>
      <c r="S187" s="144"/>
      <c r="T187" s="150"/>
      <c r="U187" s="145"/>
      <c r="V187" s="143"/>
      <c r="W187" s="143"/>
      <c r="X187" s="3"/>
      <c r="AB187" s="148"/>
      <c r="AC187" s="148"/>
    </row>
    <row r="188" spans="5:29" x14ac:dyDescent="0.25">
      <c r="E188" s="138"/>
      <c r="F188" s="173"/>
      <c r="G188" s="138"/>
      <c r="H188" s="115"/>
      <c r="I188" s="115"/>
      <c r="J188" s="115"/>
      <c r="K188" s="115"/>
      <c r="L188" s="115"/>
      <c r="M188" s="149"/>
      <c r="N188" s="149"/>
      <c r="O188" s="144"/>
      <c r="P188" s="143"/>
      <c r="Q188" s="144"/>
      <c r="R188" s="144"/>
      <c r="S188" s="144"/>
      <c r="T188" s="150"/>
      <c r="U188" s="145"/>
      <c r="V188" s="143"/>
      <c r="W188" s="143"/>
      <c r="X188" s="3"/>
      <c r="AB188" s="148"/>
      <c r="AC188" s="148"/>
    </row>
    <row r="189" spans="5:29" x14ac:dyDescent="0.25">
      <c r="E189" s="138"/>
      <c r="F189" s="173"/>
      <c r="G189" s="138"/>
      <c r="H189" s="115"/>
      <c r="I189" s="115"/>
      <c r="J189" s="115"/>
      <c r="K189" s="115"/>
      <c r="L189" s="115"/>
      <c r="M189" s="149"/>
      <c r="N189" s="149"/>
      <c r="O189" s="144"/>
      <c r="P189" s="143"/>
      <c r="Q189" s="144"/>
      <c r="R189" s="144"/>
      <c r="S189" s="144"/>
      <c r="T189" s="150"/>
      <c r="U189" s="145"/>
      <c r="V189" s="143"/>
      <c r="W189" s="143"/>
      <c r="X189" s="3"/>
      <c r="AB189" s="148"/>
      <c r="AC189" s="148"/>
    </row>
    <row r="190" spans="5:29" x14ac:dyDescent="0.25">
      <c r="E190" s="138"/>
      <c r="F190" s="173"/>
      <c r="G190" s="138"/>
      <c r="H190" s="115"/>
      <c r="I190" s="115"/>
      <c r="J190" s="115"/>
      <c r="K190" s="115"/>
      <c r="L190" s="115"/>
      <c r="M190" s="149"/>
      <c r="N190" s="149"/>
      <c r="O190" s="144"/>
      <c r="P190" s="143"/>
      <c r="Q190" s="144"/>
      <c r="R190" s="144"/>
      <c r="S190" s="144"/>
      <c r="T190" s="150"/>
      <c r="U190" s="145"/>
      <c r="V190" s="143"/>
      <c r="W190" s="143"/>
      <c r="X190" s="3"/>
      <c r="AB190" s="148"/>
      <c r="AC190" s="148"/>
    </row>
    <row r="191" spans="5:29" x14ac:dyDescent="0.25">
      <c r="E191" s="138"/>
      <c r="F191" s="173"/>
      <c r="G191" s="138"/>
      <c r="H191" s="115"/>
      <c r="I191" s="115"/>
      <c r="J191" s="115"/>
      <c r="K191" s="115"/>
      <c r="L191" s="115"/>
      <c r="M191" s="149"/>
      <c r="N191" s="149"/>
      <c r="O191" s="144"/>
      <c r="P191" s="143"/>
      <c r="Q191" s="144"/>
      <c r="R191" s="144"/>
      <c r="S191" s="144"/>
      <c r="T191" s="150"/>
      <c r="U191" s="145"/>
      <c r="V191" s="143"/>
      <c r="W191" s="143"/>
      <c r="X191" s="3"/>
      <c r="AB191" s="148"/>
      <c r="AC191" s="148"/>
    </row>
    <row r="192" spans="5:29" x14ac:dyDescent="0.25">
      <c r="E192" s="138"/>
      <c r="F192" s="173"/>
      <c r="G192" s="138"/>
      <c r="H192" s="115"/>
      <c r="I192" s="115"/>
      <c r="J192" s="115"/>
      <c r="K192" s="115"/>
      <c r="L192" s="115"/>
      <c r="M192" s="149"/>
      <c r="N192" s="149"/>
      <c r="O192" s="144"/>
      <c r="P192" s="143"/>
      <c r="Q192" s="144"/>
      <c r="R192" s="144"/>
      <c r="S192" s="144"/>
      <c r="T192" s="150"/>
      <c r="U192" s="145"/>
      <c r="V192" s="143"/>
      <c r="W192" s="143"/>
      <c r="X192" s="3"/>
      <c r="AB192" s="148"/>
      <c r="AC192" s="148"/>
    </row>
    <row r="193" spans="5:29" x14ac:dyDescent="0.25">
      <c r="E193" s="138"/>
      <c r="F193" s="173"/>
      <c r="G193" s="138"/>
      <c r="H193" s="115"/>
      <c r="I193" s="115"/>
      <c r="J193" s="115"/>
      <c r="K193" s="115"/>
      <c r="L193" s="115"/>
      <c r="M193" s="149"/>
      <c r="N193" s="149"/>
      <c r="O193" s="144"/>
      <c r="P193" s="143"/>
      <c r="Q193" s="144"/>
      <c r="R193" s="144"/>
      <c r="S193" s="144"/>
      <c r="T193" s="150"/>
      <c r="U193" s="145"/>
      <c r="V193" s="143"/>
      <c r="W193" s="143"/>
      <c r="X193" s="3"/>
      <c r="AB193" s="148"/>
      <c r="AC193" s="148"/>
    </row>
    <row r="194" spans="5:29" x14ac:dyDescent="0.25">
      <c r="E194" s="138"/>
      <c r="F194" s="173"/>
      <c r="G194" s="138"/>
      <c r="H194" s="115"/>
      <c r="I194" s="115"/>
      <c r="J194" s="115"/>
      <c r="K194" s="115"/>
      <c r="L194" s="115"/>
      <c r="M194" s="149"/>
      <c r="N194" s="149"/>
      <c r="O194" s="144"/>
      <c r="P194" s="143"/>
      <c r="Q194" s="144"/>
      <c r="R194" s="144"/>
      <c r="S194" s="144"/>
      <c r="T194" s="150"/>
      <c r="U194" s="145"/>
      <c r="V194" s="143"/>
      <c r="W194" s="143"/>
      <c r="X194" s="3"/>
      <c r="AB194" s="148"/>
      <c r="AC194" s="148"/>
    </row>
    <row r="195" spans="5:29" x14ac:dyDescent="0.25">
      <c r="E195" s="138"/>
      <c r="F195" s="173"/>
      <c r="G195" s="138"/>
      <c r="H195" s="115"/>
      <c r="I195" s="115"/>
      <c r="J195" s="115"/>
      <c r="K195" s="115"/>
      <c r="L195" s="115"/>
      <c r="M195" s="149"/>
      <c r="N195" s="149"/>
      <c r="O195" s="144"/>
      <c r="P195" s="143"/>
      <c r="Q195" s="144"/>
      <c r="R195" s="144"/>
      <c r="S195" s="144"/>
      <c r="T195" s="150"/>
      <c r="U195" s="145"/>
      <c r="V195" s="143"/>
      <c r="W195" s="143"/>
      <c r="X195" s="3"/>
      <c r="AB195" s="148"/>
      <c r="AC195" s="148"/>
    </row>
    <row r="196" spans="5:29" x14ac:dyDescent="0.25">
      <c r="E196" s="138"/>
      <c r="F196" s="173"/>
      <c r="G196" s="138"/>
      <c r="H196" s="115"/>
      <c r="I196" s="115"/>
      <c r="J196" s="115"/>
      <c r="K196" s="115"/>
      <c r="L196" s="115"/>
      <c r="M196" s="149"/>
      <c r="N196" s="149"/>
      <c r="O196" s="144"/>
      <c r="P196" s="143"/>
      <c r="Q196" s="144"/>
      <c r="R196" s="144"/>
      <c r="S196" s="144"/>
      <c r="T196" s="150"/>
      <c r="U196" s="145"/>
      <c r="V196" s="143"/>
      <c r="W196" s="143"/>
      <c r="X196" s="3"/>
      <c r="AB196" s="148"/>
      <c r="AC196" s="148"/>
    </row>
    <row r="197" spans="5:29" x14ac:dyDescent="0.25">
      <c r="E197" s="138"/>
      <c r="F197" s="173"/>
      <c r="G197" s="138"/>
      <c r="H197" s="115"/>
      <c r="I197" s="115"/>
      <c r="J197" s="115"/>
      <c r="K197" s="115"/>
      <c r="L197" s="115"/>
      <c r="M197" s="149"/>
      <c r="N197" s="149"/>
      <c r="O197" s="144"/>
      <c r="P197" s="143"/>
      <c r="Q197" s="144"/>
      <c r="R197" s="144"/>
      <c r="S197" s="144"/>
      <c r="T197" s="150"/>
      <c r="U197" s="145"/>
      <c r="V197" s="143"/>
      <c r="W197" s="143"/>
      <c r="X197" s="3"/>
      <c r="AB197" s="148"/>
      <c r="AC197" s="148"/>
    </row>
    <row r="198" spans="5:29" x14ac:dyDescent="0.25">
      <c r="E198" s="138"/>
      <c r="F198" s="173"/>
      <c r="G198" s="138"/>
      <c r="H198" s="115"/>
      <c r="I198" s="115"/>
      <c r="J198" s="115"/>
      <c r="K198" s="115"/>
      <c r="L198" s="115"/>
      <c r="M198" s="149"/>
      <c r="N198" s="149"/>
      <c r="O198" s="144"/>
      <c r="P198" s="143"/>
      <c r="Q198" s="144"/>
      <c r="R198" s="144"/>
      <c r="S198" s="144"/>
      <c r="T198" s="150"/>
      <c r="U198" s="145"/>
      <c r="V198" s="143"/>
      <c r="W198" s="143"/>
      <c r="X198" s="3"/>
      <c r="AB198" s="148"/>
      <c r="AC198" s="148"/>
    </row>
    <row r="199" spans="5:29" x14ac:dyDescent="0.25">
      <c r="E199" s="138"/>
      <c r="F199" s="173"/>
      <c r="G199" s="138"/>
      <c r="H199" s="115"/>
      <c r="I199" s="115"/>
      <c r="J199" s="115"/>
      <c r="K199" s="115"/>
      <c r="L199" s="115"/>
      <c r="M199" s="149"/>
      <c r="N199" s="149"/>
      <c r="O199" s="144"/>
      <c r="P199" s="143"/>
      <c r="Q199" s="144"/>
      <c r="R199" s="144"/>
      <c r="S199" s="144"/>
      <c r="T199" s="150"/>
      <c r="U199" s="145"/>
      <c r="V199" s="143"/>
      <c r="W199" s="143"/>
      <c r="X199" s="3"/>
      <c r="AB199" s="148"/>
      <c r="AC199" s="148"/>
    </row>
    <row r="200" spans="5:29" x14ac:dyDescent="0.25">
      <c r="E200" s="138"/>
      <c r="F200" s="173"/>
      <c r="G200" s="138"/>
      <c r="H200" s="115"/>
      <c r="I200" s="115"/>
      <c r="J200" s="115"/>
      <c r="K200" s="115"/>
      <c r="L200" s="115"/>
      <c r="M200" s="149"/>
      <c r="N200" s="149"/>
      <c r="O200" s="144"/>
      <c r="P200" s="143"/>
      <c r="Q200" s="144"/>
      <c r="R200" s="144"/>
      <c r="S200" s="144"/>
      <c r="T200" s="150"/>
      <c r="U200" s="145"/>
      <c r="V200" s="143"/>
      <c r="W200" s="143"/>
      <c r="X200" s="3"/>
      <c r="AB200" s="148"/>
      <c r="AC200" s="148"/>
    </row>
    <row r="201" spans="5:29" x14ac:dyDescent="0.25">
      <c r="E201" s="138"/>
      <c r="F201" s="173"/>
      <c r="G201" s="138"/>
      <c r="H201" s="115"/>
      <c r="I201" s="115"/>
      <c r="J201" s="115"/>
      <c r="K201" s="115"/>
      <c r="L201" s="115"/>
      <c r="M201" s="149"/>
      <c r="N201" s="149"/>
      <c r="O201" s="144"/>
      <c r="P201" s="143"/>
      <c r="Q201" s="144"/>
      <c r="R201" s="144"/>
      <c r="S201" s="144"/>
      <c r="T201" s="150"/>
      <c r="U201" s="145"/>
      <c r="V201" s="143"/>
      <c r="W201" s="143"/>
      <c r="X201" s="3"/>
      <c r="AB201" s="148"/>
      <c r="AC201" s="148"/>
    </row>
    <row r="202" spans="5:29" x14ac:dyDescent="0.25">
      <c r="E202" s="138"/>
      <c r="F202" s="173"/>
      <c r="G202" s="138"/>
      <c r="H202" s="115"/>
      <c r="I202" s="115"/>
      <c r="J202" s="115"/>
      <c r="K202" s="115"/>
      <c r="L202" s="115"/>
      <c r="M202" s="149"/>
      <c r="N202" s="149"/>
      <c r="O202" s="144"/>
      <c r="P202" s="143"/>
      <c r="Q202" s="144"/>
      <c r="R202" s="144"/>
      <c r="S202" s="144"/>
      <c r="T202" s="150"/>
      <c r="U202" s="145"/>
      <c r="V202" s="143"/>
      <c r="W202" s="143"/>
      <c r="X202" s="3"/>
      <c r="AB202" s="148"/>
      <c r="AC202" s="148"/>
    </row>
    <row r="203" spans="5:29" x14ac:dyDescent="0.25">
      <c r="E203" s="138"/>
      <c r="F203" s="173"/>
      <c r="G203" s="138"/>
      <c r="H203" s="115"/>
      <c r="I203" s="115"/>
      <c r="J203" s="115"/>
      <c r="K203" s="115"/>
      <c r="L203" s="115"/>
      <c r="M203" s="149"/>
      <c r="N203" s="149"/>
      <c r="O203" s="144"/>
      <c r="P203" s="143"/>
      <c r="Q203" s="144"/>
      <c r="R203" s="144"/>
      <c r="S203" s="144"/>
      <c r="T203" s="150"/>
      <c r="U203" s="145"/>
      <c r="V203" s="143"/>
      <c r="W203" s="143"/>
      <c r="X203" s="3"/>
      <c r="AB203" s="148"/>
      <c r="AC203" s="148"/>
    </row>
    <row r="204" spans="5:29" x14ac:dyDescent="0.25">
      <c r="E204" s="138"/>
      <c r="F204" s="173"/>
      <c r="G204" s="138"/>
      <c r="H204" s="115"/>
      <c r="I204" s="115"/>
      <c r="J204" s="115"/>
      <c r="K204" s="115"/>
      <c r="L204" s="115"/>
      <c r="M204" s="149"/>
      <c r="N204" s="149"/>
      <c r="O204" s="144"/>
      <c r="P204" s="143"/>
      <c r="Q204" s="144"/>
      <c r="R204" s="144"/>
      <c r="S204" s="144"/>
      <c r="T204" s="150"/>
      <c r="U204" s="145"/>
      <c r="V204" s="143"/>
      <c r="W204" s="143"/>
      <c r="X204" s="3"/>
      <c r="AB204" s="148"/>
      <c r="AC204" s="148"/>
    </row>
    <row r="205" spans="5:29" x14ac:dyDescent="0.25">
      <c r="E205" s="138"/>
      <c r="F205" s="173"/>
      <c r="G205" s="138"/>
      <c r="H205" s="115"/>
      <c r="I205" s="115"/>
      <c r="J205" s="115"/>
      <c r="K205" s="115"/>
      <c r="L205" s="115"/>
      <c r="M205" s="149"/>
      <c r="N205" s="149"/>
      <c r="O205" s="144"/>
      <c r="P205" s="143"/>
      <c r="Q205" s="144"/>
      <c r="R205" s="144"/>
      <c r="S205" s="144"/>
      <c r="T205" s="150"/>
      <c r="U205" s="145"/>
      <c r="V205" s="143"/>
      <c r="W205" s="143"/>
      <c r="X205" s="3"/>
      <c r="AB205" s="148"/>
      <c r="AC205" s="148"/>
    </row>
    <row r="206" spans="5:29" x14ac:dyDescent="0.25">
      <c r="E206" s="138"/>
      <c r="F206" s="173"/>
      <c r="G206" s="138"/>
      <c r="H206" s="115"/>
      <c r="I206" s="115"/>
      <c r="J206" s="115"/>
      <c r="K206" s="115"/>
      <c r="L206" s="115"/>
      <c r="M206" s="149"/>
      <c r="N206" s="149"/>
      <c r="O206" s="144"/>
      <c r="P206" s="143"/>
      <c r="Q206" s="144"/>
      <c r="R206" s="144"/>
      <c r="S206" s="144"/>
      <c r="T206" s="150"/>
      <c r="U206" s="145"/>
      <c r="V206" s="143"/>
      <c r="W206" s="143"/>
      <c r="X206" s="3"/>
      <c r="AB206" s="148"/>
      <c r="AC206" s="148"/>
    </row>
    <row r="207" spans="5:29" x14ac:dyDescent="0.25">
      <c r="E207" s="138"/>
      <c r="F207" s="173"/>
      <c r="G207" s="138"/>
      <c r="H207" s="115"/>
      <c r="I207" s="115"/>
      <c r="J207" s="115"/>
      <c r="K207" s="115"/>
      <c r="L207" s="115"/>
      <c r="M207" s="149"/>
      <c r="N207" s="149"/>
      <c r="O207" s="144"/>
      <c r="P207" s="143"/>
      <c r="Q207" s="144"/>
      <c r="R207" s="144"/>
      <c r="S207" s="144"/>
      <c r="T207" s="150"/>
      <c r="U207" s="145"/>
      <c r="V207" s="143"/>
      <c r="W207" s="143"/>
      <c r="X207" s="3"/>
      <c r="AB207" s="148"/>
      <c r="AC207" s="148"/>
    </row>
    <row r="208" spans="5:29" x14ac:dyDescent="0.25">
      <c r="E208" s="138"/>
      <c r="F208" s="173"/>
      <c r="G208" s="138"/>
      <c r="H208" s="115"/>
      <c r="I208" s="115"/>
      <c r="J208" s="115"/>
      <c r="K208" s="115"/>
      <c r="L208" s="115"/>
      <c r="M208" s="149"/>
      <c r="N208" s="149"/>
      <c r="O208" s="144"/>
      <c r="P208" s="143"/>
      <c r="Q208" s="144"/>
      <c r="R208" s="144"/>
      <c r="S208" s="144"/>
      <c r="T208" s="150"/>
      <c r="U208" s="145"/>
      <c r="V208" s="143"/>
      <c r="W208" s="143"/>
      <c r="X208" s="3"/>
      <c r="AB208" s="148"/>
      <c r="AC208" s="148"/>
    </row>
    <row r="209" spans="5:29" x14ac:dyDescent="0.25">
      <c r="E209" s="138"/>
      <c r="F209" s="173"/>
      <c r="G209" s="138"/>
      <c r="H209" s="115"/>
      <c r="I209" s="115"/>
      <c r="J209" s="115"/>
      <c r="K209" s="115"/>
      <c r="L209" s="115"/>
      <c r="M209" s="149"/>
      <c r="N209" s="149"/>
      <c r="O209" s="144"/>
      <c r="P209" s="143"/>
      <c r="Q209" s="144"/>
      <c r="R209" s="144"/>
      <c r="S209" s="144"/>
      <c r="T209" s="150"/>
      <c r="U209" s="145"/>
      <c r="V209" s="143"/>
      <c r="W209" s="143"/>
      <c r="X209" s="3"/>
      <c r="AB209" s="148"/>
      <c r="AC209" s="148"/>
    </row>
    <row r="210" spans="5:29" x14ac:dyDescent="0.25">
      <c r="E210" s="138"/>
      <c r="F210" s="173"/>
      <c r="G210" s="138"/>
      <c r="H210" s="115"/>
      <c r="I210" s="115"/>
      <c r="J210" s="115"/>
      <c r="K210" s="115"/>
      <c r="L210" s="115"/>
      <c r="M210" s="149"/>
      <c r="N210" s="149"/>
      <c r="O210" s="144"/>
      <c r="P210" s="143"/>
      <c r="Q210" s="144"/>
      <c r="R210" s="144"/>
      <c r="S210" s="144"/>
      <c r="T210" s="150"/>
      <c r="U210" s="145"/>
      <c r="V210" s="143"/>
      <c r="W210" s="143"/>
      <c r="X210" s="3"/>
      <c r="AB210" s="148"/>
      <c r="AC210" s="148"/>
    </row>
    <row r="211" spans="5:29" x14ac:dyDescent="0.25">
      <c r="E211" s="138"/>
      <c r="F211" s="173"/>
      <c r="G211" s="138"/>
      <c r="H211" s="115"/>
      <c r="I211" s="115"/>
      <c r="J211" s="115"/>
      <c r="K211" s="115"/>
      <c r="L211" s="115"/>
      <c r="M211" s="149"/>
      <c r="N211" s="149"/>
      <c r="O211" s="144"/>
      <c r="P211" s="143"/>
      <c r="Q211" s="144"/>
      <c r="R211" s="144"/>
      <c r="S211" s="144"/>
      <c r="T211" s="150"/>
      <c r="U211" s="145"/>
      <c r="V211" s="143"/>
      <c r="W211" s="143"/>
      <c r="X211" s="3"/>
      <c r="AB211" s="148"/>
      <c r="AC211" s="148"/>
    </row>
    <row r="212" spans="5:29" x14ac:dyDescent="0.25">
      <c r="E212" s="138"/>
      <c r="F212" s="173"/>
      <c r="G212" s="138"/>
      <c r="H212" s="115"/>
      <c r="I212" s="115"/>
      <c r="J212" s="115"/>
      <c r="K212" s="115"/>
      <c r="L212" s="115"/>
      <c r="M212" s="149"/>
      <c r="N212" s="149"/>
      <c r="O212" s="144"/>
      <c r="P212" s="143"/>
      <c r="Q212" s="144"/>
      <c r="R212" s="144"/>
      <c r="S212" s="144"/>
      <c r="T212" s="150"/>
      <c r="U212" s="145"/>
      <c r="V212" s="143"/>
      <c r="W212" s="143"/>
      <c r="X212" s="3"/>
      <c r="AB212" s="148"/>
      <c r="AC212" s="148"/>
    </row>
    <row r="213" spans="5:29" x14ac:dyDescent="0.25">
      <c r="E213" s="138"/>
      <c r="F213" s="173"/>
      <c r="G213" s="138"/>
      <c r="H213" s="115"/>
      <c r="I213" s="115"/>
      <c r="J213" s="115"/>
      <c r="K213" s="115"/>
      <c r="L213" s="115"/>
      <c r="M213" s="149"/>
      <c r="N213" s="149"/>
      <c r="O213" s="144"/>
      <c r="P213" s="143"/>
      <c r="Q213" s="144"/>
      <c r="R213" s="144"/>
      <c r="S213" s="144"/>
      <c r="T213" s="150"/>
      <c r="U213" s="145"/>
      <c r="V213" s="143"/>
      <c r="W213" s="143"/>
      <c r="X213" s="3"/>
      <c r="AB213" s="148"/>
      <c r="AC213" s="148"/>
    </row>
    <row r="214" spans="5:29" x14ac:dyDescent="0.25">
      <c r="E214" s="138"/>
      <c r="F214" s="173"/>
      <c r="G214" s="138"/>
      <c r="H214" s="115"/>
      <c r="I214" s="115"/>
      <c r="J214" s="115"/>
      <c r="K214" s="115"/>
      <c r="L214" s="115"/>
      <c r="M214" s="149"/>
      <c r="N214" s="149"/>
      <c r="O214" s="144"/>
      <c r="P214" s="143"/>
      <c r="Q214" s="144"/>
      <c r="R214" s="144"/>
      <c r="S214" s="144"/>
      <c r="T214" s="150"/>
      <c r="U214" s="145"/>
      <c r="V214" s="143"/>
      <c r="W214" s="143"/>
      <c r="X214" s="3"/>
      <c r="AB214" s="148"/>
      <c r="AC214" s="148"/>
    </row>
    <row r="215" spans="5:29" x14ac:dyDescent="0.25">
      <c r="E215" s="138"/>
      <c r="F215" s="173"/>
      <c r="G215" s="138"/>
      <c r="H215" s="115"/>
      <c r="I215" s="115"/>
      <c r="J215" s="115"/>
      <c r="K215" s="115"/>
      <c r="L215" s="115"/>
      <c r="M215" s="149"/>
      <c r="N215" s="149"/>
      <c r="O215" s="144"/>
      <c r="P215" s="143"/>
      <c r="Q215" s="144"/>
      <c r="R215" s="144"/>
      <c r="S215" s="144"/>
      <c r="T215" s="150"/>
      <c r="U215" s="145"/>
      <c r="V215" s="143"/>
      <c r="W215" s="143"/>
      <c r="X215" s="3"/>
      <c r="AB215" s="148"/>
      <c r="AC215" s="148"/>
    </row>
    <row r="216" spans="5:29" x14ac:dyDescent="0.25">
      <c r="E216" s="138"/>
      <c r="F216" s="173"/>
      <c r="G216" s="138"/>
      <c r="H216" s="115"/>
      <c r="I216" s="115"/>
      <c r="J216" s="115"/>
      <c r="K216" s="115"/>
      <c r="L216" s="115"/>
      <c r="M216" s="149"/>
      <c r="N216" s="149"/>
      <c r="O216" s="144"/>
      <c r="P216" s="143"/>
      <c r="Q216" s="144"/>
      <c r="R216" s="144"/>
      <c r="S216" s="144"/>
      <c r="T216" s="150"/>
      <c r="U216" s="145"/>
      <c r="V216" s="143"/>
      <c r="W216" s="143"/>
      <c r="X216" s="3"/>
      <c r="AB216" s="148"/>
      <c r="AC216" s="148"/>
    </row>
    <row r="217" spans="5:29" x14ac:dyDescent="0.25">
      <c r="E217" s="138"/>
      <c r="F217" s="173"/>
      <c r="G217" s="138"/>
      <c r="H217" s="115"/>
      <c r="I217" s="115"/>
      <c r="J217" s="115"/>
      <c r="K217" s="115"/>
      <c r="L217" s="115"/>
      <c r="M217" s="149"/>
      <c r="N217" s="149"/>
      <c r="O217" s="144"/>
      <c r="P217" s="143"/>
      <c r="Q217" s="144"/>
      <c r="R217" s="144"/>
      <c r="S217" s="144"/>
      <c r="T217" s="150"/>
      <c r="U217" s="145"/>
      <c r="V217" s="143"/>
      <c r="W217" s="143"/>
      <c r="X217" s="3"/>
      <c r="AB217" s="148"/>
      <c r="AC217" s="148"/>
    </row>
    <row r="218" spans="5:29" x14ac:dyDescent="0.25">
      <c r="E218" s="138"/>
      <c r="F218" s="173"/>
      <c r="G218" s="138"/>
      <c r="H218" s="115"/>
      <c r="I218" s="115"/>
      <c r="J218" s="115"/>
      <c r="K218" s="115"/>
      <c r="L218" s="115"/>
      <c r="M218" s="149"/>
      <c r="N218" s="149"/>
      <c r="O218" s="144"/>
      <c r="P218" s="143"/>
      <c r="Q218" s="144"/>
      <c r="R218" s="144"/>
      <c r="S218" s="144"/>
      <c r="T218" s="150"/>
      <c r="U218" s="145"/>
      <c r="V218" s="143"/>
      <c r="W218" s="143"/>
      <c r="X218" s="3"/>
      <c r="AB218" s="148"/>
      <c r="AC218" s="148"/>
    </row>
    <row r="219" spans="5:29" x14ac:dyDescent="0.25">
      <c r="E219" s="138"/>
      <c r="F219" s="173"/>
      <c r="G219" s="138"/>
      <c r="H219" s="115"/>
      <c r="I219" s="115"/>
      <c r="J219" s="115"/>
      <c r="K219" s="115"/>
      <c r="L219" s="115"/>
      <c r="M219" s="149"/>
      <c r="N219" s="149"/>
      <c r="O219" s="144"/>
      <c r="P219" s="143"/>
      <c r="Q219" s="144"/>
      <c r="R219" s="144"/>
      <c r="S219" s="144"/>
      <c r="T219" s="150"/>
      <c r="U219" s="145"/>
      <c r="V219" s="143"/>
      <c r="W219" s="143"/>
      <c r="X219" s="3"/>
      <c r="AB219" s="148"/>
      <c r="AC219" s="148"/>
    </row>
    <row r="220" spans="5:29" x14ac:dyDescent="0.25">
      <c r="E220" s="138"/>
      <c r="F220" s="173"/>
      <c r="G220" s="138"/>
      <c r="H220" s="115"/>
      <c r="I220" s="115"/>
      <c r="J220" s="115"/>
      <c r="K220" s="115"/>
      <c r="L220" s="115"/>
      <c r="M220" s="149"/>
      <c r="N220" s="149"/>
      <c r="O220" s="144"/>
      <c r="P220" s="143"/>
      <c r="Q220" s="144"/>
      <c r="R220" s="144"/>
      <c r="S220" s="144"/>
      <c r="T220" s="150"/>
      <c r="U220" s="145"/>
      <c r="V220" s="143"/>
      <c r="W220" s="143"/>
      <c r="X220" s="3"/>
      <c r="AB220" s="148"/>
      <c r="AC220" s="148"/>
    </row>
    <row r="221" spans="5:29" x14ac:dyDescent="0.25">
      <c r="E221" s="138"/>
      <c r="F221" s="173"/>
      <c r="G221" s="138"/>
      <c r="H221" s="115"/>
      <c r="I221" s="115"/>
      <c r="J221" s="115"/>
      <c r="K221" s="115"/>
      <c r="L221" s="115"/>
      <c r="M221" s="149"/>
      <c r="N221" s="149"/>
      <c r="O221" s="144"/>
      <c r="P221" s="143"/>
      <c r="Q221" s="144"/>
      <c r="R221" s="144"/>
      <c r="S221" s="144"/>
      <c r="T221" s="150"/>
      <c r="U221" s="145"/>
      <c r="V221" s="143"/>
      <c r="W221" s="143"/>
      <c r="X221" s="3"/>
      <c r="AB221" s="148"/>
      <c r="AC221" s="148"/>
    </row>
    <row r="222" spans="5:29" x14ac:dyDescent="0.25">
      <c r="E222" s="138"/>
      <c r="F222" s="173"/>
      <c r="G222" s="138"/>
      <c r="H222" s="115"/>
      <c r="I222" s="115"/>
      <c r="J222" s="115"/>
      <c r="K222" s="115"/>
      <c r="L222" s="115"/>
      <c r="M222" s="149"/>
      <c r="N222" s="149"/>
      <c r="O222" s="144"/>
      <c r="P222" s="143"/>
      <c r="Q222" s="144"/>
      <c r="R222" s="144"/>
      <c r="S222" s="144"/>
      <c r="T222" s="150"/>
      <c r="U222" s="145"/>
      <c r="V222" s="143"/>
      <c r="W222" s="143"/>
      <c r="X222" s="3"/>
      <c r="AB222" s="148"/>
      <c r="AC222" s="148"/>
    </row>
    <row r="223" spans="5:29" x14ac:dyDescent="0.25">
      <c r="E223" s="138"/>
      <c r="F223" s="173"/>
      <c r="G223" s="138"/>
      <c r="H223" s="115"/>
      <c r="I223" s="115"/>
      <c r="J223" s="115"/>
      <c r="K223" s="115"/>
      <c r="L223" s="115"/>
      <c r="M223" s="149"/>
      <c r="N223" s="149"/>
      <c r="O223" s="144"/>
      <c r="P223" s="143"/>
      <c r="Q223" s="144"/>
      <c r="R223" s="144"/>
      <c r="S223" s="144"/>
      <c r="T223" s="150"/>
      <c r="U223" s="145"/>
      <c r="V223" s="143"/>
      <c r="W223" s="143"/>
      <c r="X223" s="3"/>
      <c r="AB223" s="148"/>
      <c r="AC223" s="148"/>
    </row>
    <row r="224" spans="5:29" x14ac:dyDescent="0.25">
      <c r="E224" s="138"/>
      <c r="F224" s="173"/>
      <c r="G224" s="138"/>
      <c r="H224" s="115"/>
      <c r="I224" s="115"/>
      <c r="J224" s="115"/>
      <c r="K224" s="115"/>
      <c r="L224" s="115"/>
      <c r="M224" s="149"/>
      <c r="N224" s="149"/>
      <c r="O224" s="144"/>
      <c r="P224" s="143"/>
      <c r="Q224" s="144"/>
      <c r="R224" s="144"/>
      <c r="S224" s="144"/>
      <c r="T224" s="150"/>
      <c r="U224" s="145"/>
      <c r="V224" s="143"/>
      <c r="W224" s="143"/>
      <c r="X224" s="3"/>
      <c r="AB224" s="148"/>
      <c r="AC224" s="148"/>
    </row>
    <row r="225" spans="5:29" x14ac:dyDescent="0.25">
      <c r="E225" s="138"/>
      <c r="F225" s="173"/>
      <c r="G225" s="138"/>
      <c r="H225" s="115"/>
      <c r="I225" s="115"/>
      <c r="J225" s="115"/>
      <c r="K225" s="115"/>
      <c r="L225" s="115"/>
      <c r="M225" s="149"/>
      <c r="N225" s="149"/>
      <c r="O225" s="144"/>
      <c r="P225" s="143"/>
      <c r="Q225" s="144"/>
      <c r="R225" s="144"/>
      <c r="S225" s="144"/>
      <c r="T225" s="150"/>
      <c r="U225" s="145"/>
      <c r="V225" s="143"/>
      <c r="W225" s="143"/>
      <c r="X225" s="3"/>
      <c r="AB225" s="148"/>
      <c r="AC225" s="148"/>
    </row>
    <row r="226" spans="5:29" x14ac:dyDescent="0.25">
      <c r="E226" s="138"/>
      <c r="F226" s="173"/>
      <c r="G226" s="138"/>
      <c r="H226" s="115"/>
      <c r="I226" s="115"/>
      <c r="J226" s="115"/>
      <c r="K226" s="115"/>
      <c r="L226" s="115"/>
      <c r="M226" s="149"/>
      <c r="N226" s="149"/>
      <c r="O226" s="144"/>
      <c r="P226" s="143"/>
      <c r="Q226" s="144"/>
      <c r="R226" s="144"/>
      <c r="S226" s="144"/>
      <c r="T226" s="150"/>
      <c r="U226" s="145"/>
      <c r="V226" s="143"/>
      <c r="W226" s="143"/>
      <c r="X226" s="3"/>
      <c r="AB226" s="148"/>
      <c r="AC226" s="148"/>
    </row>
    <row r="227" spans="5:29" x14ac:dyDescent="0.25">
      <c r="E227" s="138"/>
      <c r="F227" s="173"/>
      <c r="G227" s="138"/>
      <c r="H227" s="115"/>
      <c r="I227" s="115"/>
      <c r="J227" s="115"/>
      <c r="K227" s="115"/>
      <c r="L227" s="115"/>
      <c r="M227" s="149"/>
      <c r="N227" s="149"/>
      <c r="O227" s="144"/>
      <c r="P227" s="143"/>
      <c r="Q227" s="144"/>
      <c r="R227" s="144"/>
      <c r="S227" s="144"/>
      <c r="T227" s="150"/>
      <c r="U227" s="145"/>
      <c r="V227" s="143"/>
      <c r="W227" s="143"/>
      <c r="X227" s="3"/>
      <c r="AB227" s="148"/>
      <c r="AC227" s="148"/>
    </row>
    <row r="228" spans="5:29" x14ac:dyDescent="0.25">
      <c r="E228" s="138"/>
      <c r="F228" s="173"/>
      <c r="G228" s="138"/>
      <c r="H228" s="115"/>
      <c r="I228" s="115"/>
      <c r="J228" s="115"/>
      <c r="K228" s="115"/>
      <c r="L228" s="115"/>
      <c r="M228" s="149"/>
      <c r="N228" s="149"/>
      <c r="O228" s="144"/>
      <c r="P228" s="143"/>
      <c r="Q228" s="144"/>
      <c r="R228" s="144"/>
      <c r="S228" s="144"/>
      <c r="T228" s="150"/>
      <c r="U228" s="145"/>
      <c r="V228" s="143"/>
      <c r="W228" s="143"/>
      <c r="X228" s="3"/>
      <c r="AB228" s="148"/>
      <c r="AC228" s="148"/>
    </row>
    <row r="229" spans="5:29" x14ac:dyDescent="0.25">
      <c r="E229" s="138"/>
      <c r="F229" s="173"/>
      <c r="G229" s="138"/>
      <c r="H229" s="115"/>
      <c r="I229" s="115"/>
      <c r="J229" s="115"/>
      <c r="K229" s="115"/>
      <c r="L229" s="115"/>
      <c r="M229" s="149"/>
      <c r="N229" s="149"/>
      <c r="O229" s="144"/>
      <c r="P229" s="143"/>
      <c r="Q229" s="144"/>
      <c r="R229" s="144"/>
      <c r="S229" s="144"/>
      <c r="T229" s="150"/>
      <c r="U229" s="145"/>
      <c r="V229" s="143"/>
      <c r="W229" s="143"/>
      <c r="X229" s="3"/>
      <c r="AB229" s="148"/>
      <c r="AC229" s="148"/>
    </row>
    <row r="230" spans="5:29" x14ac:dyDescent="0.25">
      <c r="E230" s="138"/>
      <c r="F230" s="173"/>
      <c r="G230" s="138"/>
      <c r="H230" s="115"/>
      <c r="I230" s="115"/>
      <c r="J230" s="115"/>
      <c r="K230" s="115"/>
      <c r="L230" s="115"/>
      <c r="M230" s="149"/>
      <c r="N230" s="149"/>
      <c r="O230" s="144"/>
      <c r="P230" s="143"/>
      <c r="Q230" s="144"/>
      <c r="R230" s="144"/>
      <c r="S230" s="144"/>
      <c r="T230" s="150"/>
      <c r="U230" s="145"/>
      <c r="V230" s="143"/>
      <c r="W230" s="143"/>
      <c r="X230" s="3"/>
      <c r="AB230" s="148"/>
      <c r="AC230" s="148"/>
    </row>
    <row r="231" spans="5:29" x14ac:dyDescent="0.25">
      <c r="E231" s="138"/>
      <c r="F231" s="173"/>
      <c r="G231" s="138"/>
      <c r="H231" s="115"/>
      <c r="I231" s="115"/>
      <c r="J231" s="115"/>
      <c r="K231" s="115"/>
      <c r="L231" s="115"/>
      <c r="M231" s="149"/>
      <c r="N231" s="149"/>
      <c r="O231" s="144"/>
      <c r="P231" s="143"/>
      <c r="Q231" s="144"/>
      <c r="R231" s="144"/>
      <c r="S231" s="144"/>
      <c r="T231" s="150"/>
      <c r="U231" s="145"/>
      <c r="V231" s="143"/>
      <c r="W231" s="143"/>
      <c r="X231" s="3"/>
      <c r="AB231" s="148"/>
      <c r="AC231" s="148"/>
    </row>
    <row r="232" spans="5:29" x14ac:dyDescent="0.25">
      <c r="E232" s="138"/>
      <c r="F232" s="173"/>
      <c r="G232" s="138"/>
      <c r="H232" s="115"/>
      <c r="I232" s="115"/>
      <c r="J232" s="115"/>
      <c r="K232" s="115"/>
      <c r="L232" s="115"/>
      <c r="M232" s="149"/>
      <c r="N232" s="149"/>
      <c r="O232" s="144"/>
      <c r="P232" s="143"/>
      <c r="Q232" s="144"/>
      <c r="R232" s="144"/>
      <c r="S232" s="144"/>
      <c r="T232" s="150"/>
      <c r="U232" s="145"/>
      <c r="V232" s="143"/>
      <c r="W232" s="143"/>
      <c r="X232" s="3"/>
      <c r="AB232" s="148"/>
      <c r="AC232" s="148"/>
    </row>
    <row r="233" spans="5:29" x14ac:dyDescent="0.25">
      <c r="E233" s="138"/>
      <c r="F233" s="173"/>
      <c r="G233" s="138"/>
      <c r="H233" s="115"/>
      <c r="I233" s="115"/>
      <c r="J233" s="115"/>
      <c r="K233" s="115"/>
      <c r="L233" s="115"/>
      <c r="M233" s="149"/>
      <c r="N233" s="149"/>
      <c r="O233" s="144"/>
      <c r="P233" s="143"/>
      <c r="Q233" s="144"/>
      <c r="R233" s="144"/>
      <c r="S233" s="144"/>
      <c r="T233" s="150"/>
      <c r="U233" s="145"/>
      <c r="V233" s="143"/>
      <c r="W233" s="143"/>
      <c r="X233" s="3"/>
      <c r="AB233" s="148"/>
      <c r="AC233" s="148"/>
    </row>
    <row r="234" spans="5:29" x14ac:dyDescent="0.25">
      <c r="E234" s="138"/>
      <c r="F234" s="173"/>
      <c r="G234" s="138"/>
      <c r="H234" s="115"/>
      <c r="I234" s="115"/>
      <c r="J234" s="115"/>
      <c r="K234" s="115"/>
      <c r="L234" s="115"/>
      <c r="M234" s="149"/>
      <c r="N234" s="149"/>
      <c r="O234" s="144"/>
      <c r="P234" s="143"/>
      <c r="Q234" s="144"/>
      <c r="R234" s="144"/>
      <c r="S234" s="144"/>
      <c r="T234" s="150"/>
      <c r="U234" s="145"/>
      <c r="V234" s="143"/>
      <c r="W234" s="143"/>
      <c r="X234" s="3"/>
      <c r="AB234" s="148"/>
      <c r="AC234" s="148"/>
    </row>
    <row r="235" spans="5:29" x14ac:dyDescent="0.25">
      <c r="E235" s="138"/>
      <c r="F235" s="173"/>
      <c r="G235" s="138"/>
      <c r="H235" s="115"/>
      <c r="I235" s="115"/>
      <c r="J235" s="115"/>
      <c r="K235" s="115"/>
      <c r="L235" s="115"/>
      <c r="M235" s="149"/>
      <c r="N235" s="149"/>
      <c r="O235" s="144"/>
      <c r="P235" s="143"/>
      <c r="Q235" s="144"/>
      <c r="R235" s="144"/>
      <c r="S235" s="144"/>
      <c r="T235" s="150"/>
      <c r="U235" s="145"/>
      <c r="V235" s="143"/>
      <c r="W235" s="143"/>
      <c r="X235" s="3"/>
      <c r="AB235" s="148"/>
      <c r="AC235" s="148"/>
    </row>
    <row r="236" spans="5:29" x14ac:dyDescent="0.25">
      <c r="E236" s="138"/>
      <c r="F236" s="173"/>
      <c r="G236" s="138"/>
      <c r="H236" s="115"/>
      <c r="I236" s="115"/>
      <c r="J236" s="115"/>
      <c r="K236" s="115"/>
      <c r="L236" s="115"/>
      <c r="M236" s="149"/>
      <c r="N236" s="149"/>
      <c r="O236" s="144"/>
      <c r="P236" s="143"/>
      <c r="Q236" s="144"/>
      <c r="R236" s="144"/>
      <c r="S236" s="144"/>
      <c r="T236" s="150"/>
      <c r="U236" s="145"/>
      <c r="V236" s="143"/>
      <c r="W236" s="143"/>
      <c r="X236" s="3"/>
      <c r="AB236" s="148"/>
      <c r="AC236" s="148"/>
    </row>
    <row r="237" spans="5:29" x14ac:dyDescent="0.25">
      <c r="E237" s="138"/>
      <c r="F237" s="173"/>
      <c r="G237" s="138"/>
      <c r="H237" s="115"/>
      <c r="I237" s="115"/>
      <c r="J237" s="115"/>
      <c r="K237" s="115"/>
      <c r="L237" s="115"/>
      <c r="M237" s="149"/>
      <c r="N237" s="149"/>
      <c r="O237" s="144"/>
      <c r="P237" s="143"/>
      <c r="Q237" s="144"/>
      <c r="R237" s="144"/>
      <c r="S237" s="144"/>
      <c r="T237" s="150"/>
      <c r="U237" s="145"/>
      <c r="V237" s="143"/>
      <c r="W237" s="143"/>
      <c r="X237" s="3"/>
      <c r="AB237" s="148"/>
      <c r="AC237" s="148"/>
    </row>
    <row r="238" spans="5:29" x14ac:dyDescent="0.25">
      <c r="E238" s="138"/>
      <c r="F238" s="173"/>
      <c r="G238" s="138"/>
      <c r="H238" s="115"/>
      <c r="I238" s="115"/>
      <c r="J238" s="115"/>
      <c r="K238" s="115"/>
      <c r="L238" s="115"/>
      <c r="M238" s="149"/>
      <c r="N238" s="149"/>
      <c r="O238" s="144"/>
      <c r="P238" s="143"/>
      <c r="Q238" s="144"/>
      <c r="R238" s="144"/>
      <c r="S238" s="144"/>
      <c r="T238" s="150"/>
      <c r="U238" s="145"/>
      <c r="V238" s="143"/>
      <c r="W238" s="143"/>
      <c r="X238" s="3"/>
      <c r="AB238" s="148"/>
      <c r="AC238" s="148"/>
    </row>
    <row r="239" spans="5:29" x14ac:dyDescent="0.25">
      <c r="E239" s="138"/>
      <c r="F239" s="173"/>
      <c r="G239" s="138"/>
      <c r="H239" s="115"/>
      <c r="I239" s="115"/>
      <c r="J239" s="115"/>
      <c r="K239" s="115"/>
      <c r="L239" s="115"/>
      <c r="M239" s="149"/>
      <c r="N239" s="149"/>
      <c r="O239" s="144"/>
      <c r="P239" s="143"/>
      <c r="Q239" s="144"/>
      <c r="R239" s="144"/>
      <c r="S239" s="144"/>
      <c r="T239" s="150"/>
      <c r="U239" s="145"/>
      <c r="V239" s="143"/>
      <c r="W239" s="143"/>
      <c r="X239" s="3"/>
      <c r="AB239" s="148"/>
      <c r="AC239" s="148"/>
    </row>
    <row r="240" spans="5:29" x14ac:dyDescent="0.25">
      <c r="E240" s="138"/>
      <c r="F240" s="173"/>
      <c r="G240" s="138"/>
      <c r="H240" s="115"/>
      <c r="I240" s="115"/>
      <c r="J240" s="115"/>
      <c r="K240" s="115"/>
      <c r="L240" s="115"/>
      <c r="M240" s="149"/>
      <c r="N240" s="149"/>
      <c r="O240" s="144"/>
      <c r="P240" s="143"/>
      <c r="Q240" s="144"/>
      <c r="R240" s="144"/>
      <c r="S240" s="144"/>
      <c r="T240" s="150"/>
      <c r="U240" s="145"/>
      <c r="V240" s="143"/>
      <c r="W240" s="143"/>
      <c r="X240" s="3"/>
      <c r="AB240" s="148"/>
      <c r="AC240" s="148"/>
    </row>
    <row r="241" spans="5:29" x14ac:dyDescent="0.25">
      <c r="E241" s="138"/>
      <c r="F241" s="173"/>
      <c r="G241" s="138"/>
      <c r="H241" s="115"/>
      <c r="I241" s="115"/>
      <c r="J241" s="115"/>
      <c r="K241" s="115"/>
      <c r="L241" s="115"/>
      <c r="M241" s="149"/>
      <c r="N241" s="149"/>
      <c r="O241" s="144"/>
      <c r="P241" s="143"/>
      <c r="Q241" s="144"/>
      <c r="R241" s="144"/>
      <c r="S241" s="144"/>
      <c r="T241" s="150"/>
      <c r="U241" s="145"/>
      <c r="V241" s="143"/>
      <c r="W241" s="143"/>
      <c r="X241" s="3"/>
      <c r="AB241" s="148"/>
      <c r="AC241" s="148"/>
    </row>
    <row r="242" spans="5:29" x14ac:dyDescent="0.25">
      <c r="E242" s="138"/>
      <c r="F242" s="173"/>
      <c r="G242" s="138"/>
      <c r="H242" s="115"/>
      <c r="I242" s="115"/>
      <c r="J242" s="115"/>
      <c r="K242" s="115"/>
      <c r="L242" s="115"/>
      <c r="M242" s="149"/>
      <c r="N242" s="149"/>
      <c r="O242" s="144"/>
      <c r="P242" s="143"/>
      <c r="Q242" s="144"/>
      <c r="R242" s="144"/>
      <c r="S242" s="144"/>
      <c r="T242" s="150"/>
      <c r="U242" s="145"/>
      <c r="V242" s="143"/>
      <c r="W242" s="143"/>
      <c r="X242" s="3"/>
      <c r="AB242" s="148"/>
      <c r="AC242" s="148"/>
    </row>
    <row r="243" spans="5:29" x14ac:dyDescent="0.25">
      <c r="E243" s="138"/>
      <c r="F243" s="173"/>
      <c r="G243" s="138"/>
      <c r="H243" s="115"/>
      <c r="I243" s="115"/>
      <c r="J243" s="115"/>
      <c r="K243" s="115"/>
      <c r="L243" s="115"/>
      <c r="M243" s="149"/>
      <c r="N243" s="149"/>
      <c r="O243" s="144"/>
      <c r="P243" s="143"/>
      <c r="Q243" s="144"/>
      <c r="R243" s="144"/>
      <c r="S243" s="144"/>
      <c r="T243" s="150"/>
      <c r="U243" s="145"/>
      <c r="V243" s="143"/>
      <c r="W243" s="143"/>
      <c r="X243" s="3"/>
      <c r="AB243" s="148"/>
      <c r="AC243" s="148"/>
    </row>
    <row r="244" spans="5:29" x14ac:dyDescent="0.25">
      <c r="E244" s="138"/>
      <c r="F244" s="173"/>
      <c r="G244" s="138"/>
      <c r="H244" s="115"/>
      <c r="I244" s="115"/>
      <c r="J244" s="115"/>
      <c r="K244" s="115"/>
      <c r="L244" s="115"/>
      <c r="M244" s="149"/>
      <c r="N244" s="149"/>
      <c r="O244" s="144"/>
      <c r="P244" s="143"/>
      <c r="Q244" s="144"/>
      <c r="R244" s="144"/>
      <c r="S244" s="144"/>
      <c r="T244" s="150"/>
      <c r="U244" s="145"/>
      <c r="V244" s="143"/>
      <c r="W244" s="143"/>
      <c r="X244" s="3"/>
      <c r="AB244" s="148"/>
      <c r="AC244" s="148"/>
    </row>
    <row r="245" spans="5:29" x14ac:dyDescent="0.25">
      <c r="E245" s="138"/>
      <c r="F245" s="173"/>
      <c r="G245" s="138"/>
      <c r="H245" s="115"/>
      <c r="I245" s="115"/>
      <c r="J245" s="115"/>
      <c r="K245" s="115"/>
      <c r="L245" s="115"/>
      <c r="M245" s="149"/>
      <c r="N245" s="149"/>
      <c r="O245" s="144"/>
      <c r="P245" s="143"/>
      <c r="Q245" s="144"/>
      <c r="R245" s="144"/>
      <c r="S245" s="144"/>
      <c r="T245" s="150"/>
      <c r="U245" s="145"/>
      <c r="V245" s="143"/>
      <c r="W245" s="143"/>
      <c r="X245" s="3"/>
      <c r="AB245" s="148"/>
      <c r="AC245" s="148"/>
    </row>
    <row r="246" spans="5:29" x14ac:dyDescent="0.25">
      <c r="E246" s="138"/>
      <c r="F246" s="173"/>
      <c r="G246" s="138"/>
      <c r="H246" s="115"/>
      <c r="I246" s="115"/>
      <c r="J246" s="115"/>
      <c r="K246" s="115"/>
      <c r="L246" s="115"/>
      <c r="M246" s="149"/>
      <c r="N246" s="149"/>
      <c r="O246" s="144"/>
      <c r="P246" s="143"/>
      <c r="Q246" s="144"/>
      <c r="R246" s="144"/>
      <c r="S246" s="144"/>
      <c r="T246" s="150"/>
      <c r="U246" s="145"/>
      <c r="V246" s="143"/>
      <c r="W246" s="143"/>
      <c r="X246" s="3"/>
      <c r="AB246" s="148"/>
      <c r="AC246" s="148"/>
    </row>
    <row r="247" spans="5:29" x14ac:dyDescent="0.25">
      <c r="E247" s="138"/>
      <c r="F247" s="173"/>
      <c r="G247" s="138"/>
      <c r="H247" s="115"/>
      <c r="I247" s="115"/>
      <c r="J247" s="115"/>
      <c r="K247" s="115"/>
      <c r="L247" s="115"/>
      <c r="M247" s="149"/>
      <c r="N247" s="149"/>
      <c r="O247" s="144"/>
      <c r="P247" s="143"/>
      <c r="Q247" s="144"/>
      <c r="R247" s="144"/>
      <c r="S247" s="144"/>
      <c r="T247" s="150"/>
      <c r="U247" s="145"/>
      <c r="V247" s="143"/>
      <c r="W247" s="143"/>
      <c r="X247" s="3"/>
      <c r="AB247" s="148"/>
      <c r="AC247" s="148"/>
    </row>
    <row r="248" spans="5:29" x14ac:dyDescent="0.25">
      <c r="E248" s="138"/>
      <c r="F248" s="173"/>
      <c r="G248" s="138"/>
      <c r="H248" s="115"/>
      <c r="I248" s="115"/>
      <c r="J248" s="115"/>
      <c r="K248" s="115"/>
      <c r="L248" s="115"/>
      <c r="M248" s="149"/>
      <c r="N248" s="149"/>
      <c r="O248" s="144"/>
      <c r="P248" s="143"/>
      <c r="Q248" s="144"/>
      <c r="R248" s="144"/>
      <c r="S248" s="144"/>
      <c r="T248" s="150"/>
      <c r="U248" s="145"/>
      <c r="V248" s="143"/>
      <c r="W248" s="143"/>
      <c r="X248" s="3"/>
      <c r="AB248" s="148"/>
      <c r="AC248" s="148"/>
    </row>
    <row r="249" spans="5:29" x14ac:dyDescent="0.25">
      <c r="E249" s="138"/>
      <c r="F249" s="173"/>
      <c r="G249" s="138"/>
      <c r="H249" s="115"/>
      <c r="I249" s="115"/>
      <c r="J249" s="115"/>
      <c r="K249" s="115"/>
      <c r="L249" s="115"/>
      <c r="M249" s="149"/>
      <c r="N249" s="149"/>
      <c r="O249" s="144"/>
      <c r="P249" s="143"/>
      <c r="Q249" s="144"/>
      <c r="R249" s="144"/>
      <c r="S249" s="144"/>
      <c r="T249" s="150"/>
      <c r="U249" s="145"/>
      <c r="V249" s="143"/>
      <c r="W249" s="143"/>
      <c r="X249" s="3"/>
      <c r="AB249" s="148"/>
      <c r="AC249" s="148"/>
    </row>
    <row r="250" spans="5:29" x14ac:dyDescent="0.25">
      <c r="E250" s="138"/>
      <c r="F250" s="173"/>
      <c r="G250" s="138"/>
      <c r="H250" s="115"/>
      <c r="I250" s="115"/>
      <c r="J250" s="115"/>
      <c r="K250" s="115"/>
      <c r="L250" s="115"/>
      <c r="M250" s="149"/>
      <c r="N250" s="149"/>
      <c r="O250" s="144"/>
      <c r="P250" s="143"/>
      <c r="Q250" s="144"/>
      <c r="R250" s="144"/>
      <c r="S250" s="144"/>
      <c r="T250" s="150"/>
      <c r="U250" s="145"/>
      <c r="V250" s="143"/>
      <c r="W250" s="143"/>
      <c r="X250" s="3"/>
      <c r="AB250" s="148"/>
      <c r="AC250" s="148"/>
    </row>
    <row r="251" spans="5:29" x14ac:dyDescent="0.25">
      <c r="E251" s="138"/>
      <c r="F251" s="173"/>
      <c r="G251" s="138"/>
      <c r="H251" s="115"/>
      <c r="I251" s="115"/>
      <c r="J251" s="115"/>
      <c r="K251" s="115"/>
      <c r="L251" s="115"/>
      <c r="M251" s="149"/>
      <c r="N251" s="149"/>
      <c r="O251" s="144"/>
      <c r="P251" s="143"/>
      <c r="Q251" s="144"/>
      <c r="R251" s="144"/>
      <c r="S251" s="144"/>
      <c r="T251" s="150"/>
      <c r="U251" s="145"/>
      <c r="V251" s="143"/>
      <c r="W251" s="143"/>
      <c r="X251" s="3"/>
      <c r="AB251" s="148"/>
      <c r="AC251" s="148"/>
    </row>
    <row r="252" spans="5:29" x14ac:dyDescent="0.25">
      <c r="E252" s="138"/>
      <c r="F252" s="173"/>
      <c r="G252" s="138"/>
      <c r="H252" s="115"/>
      <c r="I252" s="115"/>
      <c r="J252" s="115"/>
      <c r="K252" s="115"/>
      <c r="L252" s="115"/>
      <c r="M252" s="149"/>
      <c r="N252" s="149"/>
      <c r="O252" s="144"/>
      <c r="P252" s="143"/>
      <c r="Q252" s="144"/>
      <c r="R252" s="144"/>
      <c r="S252" s="144"/>
      <c r="T252" s="150"/>
      <c r="U252" s="145"/>
      <c r="V252" s="143"/>
      <c r="W252" s="143"/>
      <c r="X252" s="3"/>
      <c r="AB252" s="148"/>
      <c r="AC252" s="148"/>
    </row>
    <row r="253" spans="5:29" x14ac:dyDescent="0.25">
      <c r="E253" s="138"/>
      <c r="F253" s="173"/>
      <c r="G253" s="138"/>
      <c r="H253" s="115"/>
      <c r="I253" s="115"/>
      <c r="J253" s="115"/>
      <c r="K253" s="115"/>
      <c r="L253" s="115"/>
      <c r="M253" s="149"/>
      <c r="N253" s="149"/>
      <c r="O253" s="144"/>
      <c r="P253" s="143"/>
      <c r="Q253" s="144"/>
      <c r="R253" s="144"/>
      <c r="S253" s="144"/>
      <c r="T253" s="150"/>
      <c r="U253" s="145"/>
      <c r="V253" s="143"/>
      <c r="W253" s="143"/>
      <c r="X253" s="3"/>
      <c r="AB253" s="148"/>
      <c r="AC253" s="148"/>
    </row>
    <row r="254" spans="5:29" x14ac:dyDescent="0.25">
      <c r="E254" s="138"/>
      <c r="F254" s="173"/>
      <c r="G254" s="138"/>
      <c r="H254" s="115"/>
      <c r="I254" s="115"/>
      <c r="J254" s="115"/>
      <c r="K254" s="115"/>
      <c r="L254" s="115"/>
      <c r="M254" s="149"/>
      <c r="N254" s="149"/>
      <c r="O254" s="144"/>
      <c r="P254" s="143"/>
      <c r="Q254" s="144"/>
      <c r="R254" s="144"/>
      <c r="S254" s="144"/>
      <c r="T254" s="150"/>
      <c r="U254" s="145"/>
      <c r="V254" s="143"/>
      <c r="W254" s="143"/>
      <c r="X254" s="3"/>
      <c r="AB254" s="148"/>
      <c r="AC254" s="148"/>
    </row>
    <row r="255" spans="5:29" x14ac:dyDescent="0.25">
      <c r="E255" s="138"/>
      <c r="F255" s="173"/>
      <c r="G255" s="138"/>
      <c r="H255" s="115"/>
      <c r="I255" s="115"/>
      <c r="J255" s="115"/>
      <c r="K255" s="115"/>
      <c r="L255" s="115"/>
      <c r="M255" s="149"/>
      <c r="N255" s="149"/>
      <c r="O255" s="144"/>
      <c r="P255" s="143"/>
      <c r="Q255" s="144"/>
      <c r="R255" s="144"/>
      <c r="S255" s="144"/>
      <c r="T255" s="150"/>
      <c r="U255" s="145"/>
      <c r="V255" s="143"/>
      <c r="W255" s="143"/>
      <c r="X255" s="3"/>
      <c r="AB255" s="148"/>
      <c r="AC255" s="148"/>
    </row>
    <row r="256" spans="5:29" x14ac:dyDescent="0.25">
      <c r="E256" s="138"/>
      <c r="F256" s="173"/>
      <c r="G256" s="138"/>
      <c r="H256" s="115"/>
      <c r="I256" s="115"/>
      <c r="J256" s="115"/>
      <c r="K256" s="115"/>
      <c r="L256" s="115"/>
      <c r="M256" s="149"/>
      <c r="N256" s="149"/>
      <c r="O256" s="144"/>
      <c r="P256" s="143"/>
      <c r="Q256" s="144"/>
      <c r="R256" s="144"/>
      <c r="S256" s="144"/>
      <c r="T256" s="150"/>
      <c r="U256" s="145"/>
      <c r="V256" s="143"/>
      <c r="W256" s="143"/>
      <c r="X256" s="3"/>
      <c r="AB256" s="148"/>
      <c r="AC256" s="148"/>
    </row>
    <row r="257" spans="5:29" x14ac:dyDescent="0.25">
      <c r="E257" s="138"/>
      <c r="F257" s="173"/>
      <c r="G257" s="138"/>
      <c r="H257" s="115"/>
      <c r="I257" s="115"/>
      <c r="J257" s="115"/>
      <c r="K257" s="115"/>
      <c r="L257" s="115"/>
      <c r="M257" s="149"/>
      <c r="N257" s="149"/>
      <c r="O257" s="144"/>
      <c r="P257" s="143"/>
      <c r="Q257" s="144"/>
      <c r="R257" s="144"/>
      <c r="S257" s="144"/>
      <c r="T257" s="150"/>
      <c r="U257" s="145"/>
      <c r="V257" s="143"/>
      <c r="W257" s="143"/>
      <c r="X257" s="3"/>
      <c r="AB257" s="148"/>
      <c r="AC257" s="148"/>
    </row>
    <row r="258" spans="5:29" x14ac:dyDescent="0.25">
      <c r="E258" s="138"/>
      <c r="F258" s="173"/>
      <c r="G258" s="138"/>
      <c r="H258" s="115"/>
      <c r="I258" s="115"/>
      <c r="J258" s="115"/>
      <c r="K258" s="115"/>
      <c r="L258" s="115"/>
      <c r="M258" s="149"/>
      <c r="N258" s="149"/>
      <c r="O258" s="144"/>
      <c r="P258" s="143"/>
      <c r="Q258" s="144"/>
      <c r="R258" s="144"/>
      <c r="S258" s="144"/>
      <c r="T258" s="150"/>
      <c r="U258" s="145"/>
      <c r="V258" s="143"/>
      <c r="W258" s="143"/>
      <c r="X258" s="3"/>
      <c r="AB258" s="148"/>
      <c r="AC258" s="148"/>
    </row>
    <row r="259" spans="5:29" x14ac:dyDescent="0.25">
      <c r="E259" s="138"/>
      <c r="F259" s="173"/>
      <c r="G259" s="138"/>
      <c r="H259" s="115"/>
      <c r="I259" s="115"/>
      <c r="J259" s="115"/>
      <c r="K259" s="115"/>
      <c r="L259" s="115"/>
      <c r="M259" s="149"/>
      <c r="N259" s="149"/>
      <c r="O259" s="144"/>
      <c r="P259" s="143"/>
      <c r="Q259" s="144"/>
      <c r="R259" s="144"/>
      <c r="S259" s="144"/>
      <c r="T259" s="150"/>
      <c r="U259" s="145"/>
      <c r="V259" s="143"/>
      <c r="W259" s="143"/>
      <c r="X259" s="3"/>
      <c r="AB259" s="148"/>
      <c r="AC259" s="148"/>
    </row>
    <row r="260" spans="5:29" x14ac:dyDescent="0.25">
      <c r="E260" s="138"/>
      <c r="F260" s="173"/>
      <c r="G260" s="138"/>
      <c r="H260" s="115"/>
      <c r="I260" s="115"/>
      <c r="J260" s="115"/>
      <c r="K260" s="115"/>
      <c r="L260" s="115"/>
      <c r="M260" s="149"/>
      <c r="N260" s="149"/>
      <c r="O260" s="144"/>
      <c r="P260" s="143"/>
      <c r="Q260" s="144"/>
      <c r="R260" s="144"/>
      <c r="S260" s="144"/>
      <c r="T260" s="150"/>
      <c r="U260" s="145"/>
      <c r="V260" s="143"/>
      <c r="W260" s="143"/>
      <c r="X260" s="3"/>
      <c r="AB260" s="148"/>
      <c r="AC260" s="148"/>
    </row>
    <row r="261" spans="5:29" x14ac:dyDescent="0.25">
      <c r="E261" s="138"/>
      <c r="F261" s="173"/>
      <c r="G261" s="138"/>
      <c r="H261" s="115"/>
      <c r="I261" s="115"/>
      <c r="J261" s="115"/>
      <c r="K261" s="115"/>
      <c r="L261" s="115"/>
      <c r="M261" s="149"/>
      <c r="N261" s="149"/>
      <c r="O261" s="144"/>
      <c r="P261" s="143"/>
      <c r="Q261" s="144"/>
      <c r="R261" s="144"/>
      <c r="S261" s="144"/>
      <c r="T261" s="150"/>
      <c r="U261" s="145"/>
      <c r="V261" s="143"/>
      <c r="W261" s="143"/>
      <c r="X261" s="3"/>
      <c r="AB261" s="148"/>
      <c r="AC261" s="148"/>
    </row>
    <row r="262" spans="5:29" x14ac:dyDescent="0.25">
      <c r="E262" s="138"/>
      <c r="F262" s="173"/>
      <c r="G262" s="138"/>
      <c r="H262" s="115"/>
      <c r="I262" s="115"/>
      <c r="J262" s="115"/>
      <c r="K262" s="115"/>
      <c r="L262" s="115"/>
      <c r="M262" s="149"/>
      <c r="N262" s="149"/>
      <c r="O262" s="144"/>
      <c r="P262" s="143"/>
      <c r="Q262" s="144"/>
      <c r="R262" s="144"/>
      <c r="S262" s="144"/>
      <c r="T262" s="150"/>
      <c r="U262" s="145"/>
      <c r="V262" s="143"/>
      <c r="W262" s="143"/>
      <c r="X262" s="3"/>
      <c r="AB262" s="148"/>
      <c r="AC262" s="148"/>
    </row>
    <row r="263" spans="5:29" x14ac:dyDescent="0.25">
      <c r="E263" s="138"/>
      <c r="F263" s="173"/>
      <c r="G263" s="138"/>
      <c r="H263" s="115"/>
      <c r="I263" s="115"/>
      <c r="J263" s="115"/>
      <c r="K263" s="115"/>
      <c r="L263" s="115"/>
      <c r="M263" s="149"/>
      <c r="N263" s="149"/>
      <c r="O263" s="144"/>
      <c r="P263" s="143"/>
      <c r="Q263" s="144"/>
      <c r="R263" s="144"/>
      <c r="S263" s="144"/>
      <c r="T263" s="150"/>
      <c r="U263" s="145"/>
      <c r="V263" s="143"/>
      <c r="W263" s="143"/>
      <c r="X263" s="3"/>
      <c r="AB263" s="148"/>
      <c r="AC263" s="148"/>
    </row>
    <row r="264" spans="5:29" x14ac:dyDescent="0.25">
      <c r="E264" s="138"/>
      <c r="F264" s="173"/>
      <c r="G264" s="138"/>
      <c r="H264" s="115"/>
      <c r="I264" s="115"/>
      <c r="J264" s="115"/>
      <c r="K264" s="115"/>
      <c r="L264" s="115"/>
      <c r="M264" s="149"/>
      <c r="N264" s="149"/>
      <c r="O264" s="144"/>
      <c r="P264" s="143"/>
      <c r="Q264" s="144"/>
      <c r="R264" s="144"/>
      <c r="S264" s="144"/>
      <c r="T264" s="150"/>
      <c r="U264" s="145"/>
      <c r="V264" s="143"/>
      <c r="W264" s="143"/>
      <c r="X264" s="3"/>
      <c r="AB264" s="148"/>
      <c r="AC264" s="148"/>
    </row>
    <row r="265" spans="5:29" x14ac:dyDescent="0.25">
      <c r="E265" s="138"/>
      <c r="F265" s="173"/>
      <c r="G265" s="138"/>
      <c r="H265" s="115"/>
      <c r="I265" s="115"/>
      <c r="J265" s="115"/>
      <c r="K265" s="115"/>
      <c r="L265" s="115"/>
      <c r="M265" s="149"/>
      <c r="N265" s="149"/>
      <c r="O265" s="144"/>
      <c r="P265" s="143"/>
      <c r="Q265" s="144"/>
      <c r="R265" s="144"/>
      <c r="S265" s="144"/>
      <c r="T265" s="150"/>
      <c r="U265" s="145"/>
      <c r="V265" s="143"/>
      <c r="W265" s="143"/>
      <c r="X265" s="3"/>
      <c r="AB265" s="148"/>
      <c r="AC265" s="148"/>
    </row>
    <row r="266" spans="5:29" x14ac:dyDescent="0.25">
      <c r="E266" s="138"/>
      <c r="F266" s="173"/>
      <c r="G266" s="138"/>
      <c r="H266" s="115"/>
      <c r="I266" s="115"/>
      <c r="J266" s="115"/>
      <c r="K266" s="115"/>
      <c r="L266" s="115"/>
      <c r="M266" s="149"/>
      <c r="N266" s="149"/>
      <c r="O266" s="144"/>
      <c r="P266" s="143"/>
      <c r="Q266" s="144"/>
      <c r="R266" s="144"/>
      <c r="S266" s="144"/>
      <c r="T266" s="150"/>
      <c r="U266" s="145"/>
      <c r="V266" s="143"/>
      <c r="W266" s="143"/>
      <c r="X266" s="3"/>
      <c r="AB266" s="148"/>
      <c r="AC266" s="148"/>
    </row>
    <row r="267" spans="5:29" x14ac:dyDescent="0.25">
      <c r="E267" s="138"/>
      <c r="F267" s="173"/>
      <c r="G267" s="138"/>
      <c r="H267" s="115"/>
      <c r="I267" s="115"/>
      <c r="J267" s="115"/>
      <c r="K267" s="115"/>
      <c r="L267" s="115"/>
      <c r="M267" s="149"/>
      <c r="N267" s="149"/>
      <c r="O267" s="144"/>
      <c r="P267" s="143"/>
      <c r="Q267" s="144"/>
      <c r="R267" s="144"/>
      <c r="S267" s="144"/>
      <c r="T267" s="150"/>
      <c r="U267" s="145"/>
      <c r="V267" s="143"/>
      <c r="W267" s="143"/>
      <c r="X267" s="3"/>
      <c r="AB267" s="148"/>
      <c r="AC267" s="148"/>
    </row>
    <row r="268" spans="5:29" x14ac:dyDescent="0.25">
      <c r="E268" s="138"/>
      <c r="F268" s="173"/>
      <c r="G268" s="138"/>
      <c r="H268" s="115"/>
      <c r="I268" s="115"/>
      <c r="J268" s="115"/>
      <c r="K268" s="115"/>
      <c r="L268" s="115"/>
      <c r="M268" s="149"/>
      <c r="N268" s="149"/>
      <c r="O268" s="144"/>
      <c r="P268" s="143"/>
      <c r="Q268" s="144"/>
      <c r="R268" s="144"/>
      <c r="S268" s="144"/>
      <c r="T268" s="150"/>
      <c r="U268" s="145"/>
      <c r="V268" s="143"/>
      <c r="W268" s="143"/>
      <c r="X268" s="3"/>
      <c r="AB268" s="148"/>
      <c r="AC268" s="148"/>
    </row>
    <row r="269" spans="5:29" x14ac:dyDescent="0.25">
      <c r="E269" s="138"/>
      <c r="F269" s="173"/>
      <c r="G269" s="138"/>
      <c r="H269" s="115"/>
      <c r="I269" s="115"/>
      <c r="J269" s="115"/>
      <c r="K269" s="115"/>
      <c r="L269" s="115"/>
      <c r="M269" s="149"/>
      <c r="N269" s="149"/>
      <c r="O269" s="144"/>
      <c r="P269" s="143"/>
      <c r="Q269" s="144"/>
      <c r="R269" s="144"/>
      <c r="S269" s="144"/>
      <c r="T269" s="150"/>
      <c r="U269" s="145"/>
      <c r="V269" s="143"/>
      <c r="W269" s="143"/>
      <c r="X269" s="3"/>
      <c r="AB269" s="148"/>
      <c r="AC269" s="148"/>
    </row>
    <row r="270" spans="5:29" x14ac:dyDescent="0.25">
      <c r="E270" s="138"/>
      <c r="F270" s="173"/>
      <c r="G270" s="138"/>
      <c r="H270" s="115"/>
      <c r="I270" s="115"/>
      <c r="J270" s="115"/>
      <c r="K270" s="115"/>
      <c r="L270" s="115"/>
      <c r="M270" s="149"/>
      <c r="N270" s="149"/>
      <c r="O270" s="144"/>
      <c r="P270" s="143"/>
      <c r="Q270" s="144"/>
      <c r="R270" s="144"/>
      <c r="S270" s="144"/>
      <c r="T270" s="150"/>
      <c r="U270" s="145"/>
      <c r="V270" s="143"/>
      <c r="W270" s="143"/>
      <c r="X270" s="3"/>
      <c r="AB270" s="148"/>
      <c r="AC270" s="148"/>
    </row>
    <row r="271" spans="5:29" x14ac:dyDescent="0.25">
      <c r="E271" s="138"/>
      <c r="F271" s="173"/>
      <c r="G271" s="138"/>
      <c r="H271" s="115"/>
      <c r="I271" s="115"/>
      <c r="J271" s="115"/>
      <c r="K271" s="115"/>
      <c r="L271" s="115"/>
      <c r="M271" s="149"/>
      <c r="N271" s="149"/>
      <c r="O271" s="144"/>
      <c r="P271" s="143"/>
      <c r="Q271" s="144"/>
      <c r="R271" s="144"/>
      <c r="S271" s="144"/>
      <c r="T271" s="150"/>
      <c r="U271" s="145"/>
      <c r="V271" s="143"/>
      <c r="W271" s="143"/>
      <c r="X271" s="3"/>
      <c r="AB271" s="148"/>
      <c r="AC271" s="148"/>
    </row>
    <row r="272" spans="5:29" x14ac:dyDescent="0.25">
      <c r="E272" s="138"/>
      <c r="F272" s="173"/>
      <c r="G272" s="138"/>
      <c r="H272" s="115"/>
      <c r="I272" s="115"/>
      <c r="J272" s="115"/>
      <c r="K272" s="115"/>
      <c r="L272" s="115"/>
      <c r="M272" s="149"/>
      <c r="N272" s="149"/>
      <c r="O272" s="144"/>
      <c r="P272" s="143"/>
      <c r="Q272" s="144"/>
      <c r="R272" s="144"/>
      <c r="S272" s="144"/>
      <c r="T272" s="150"/>
      <c r="U272" s="145"/>
      <c r="V272" s="143"/>
      <c r="W272" s="143"/>
      <c r="X272" s="3"/>
      <c r="AB272" s="148"/>
      <c r="AC272" s="148"/>
    </row>
    <row r="273" spans="5:29" x14ac:dyDescent="0.25">
      <c r="E273" s="138"/>
      <c r="F273" s="173"/>
      <c r="G273" s="138"/>
      <c r="H273" s="115"/>
      <c r="I273" s="115"/>
      <c r="J273" s="115"/>
      <c r="K273" s="115"/>
      <c r="L273" s="115"/>
      <c r="M273" s="149"/>
      <c r="N273" s="149"/>
      <c r="O273" s="144"/>
      <c r="P273" s="143"/>
      <c r="Q273" s="144"/>
      <c r="R273" s="144"/>
      <c r="S273" s="144"/>
      <c r="T273" s="150"/>
      <c r="U273" s="145"/>
      <c r="V273" s="143"/>
      <c r="W273" s="143"/>
      <c r="X273" s="3"/>
      <c r="AB273" s="148"/>
      <c r="AC273" s="148"/>
    </row>
    <row r="274" spans="5:29" x14ac:dyDescent="0.25">
      <c r="E274" s="138"/>
      <c r="F274" s="173"/>
      <c r="G274" s="138"/>
      <c r="H274" s="115"/>
      <c r="I274" s="115"/>
      <c r="J274" s="115"/>
      <c r="K274" s="115"/>
      <c r="L274" s="115"/>
      <c r="M274" s="149"/>
      <c r="N274" s="149"/>
      <c r="O274" s="144"/>
      <c r="P274" s="143"/>
      <c r="Q274" s="144"/>
      <c r="R274" s="144"/>
      <c r="S274" s="144"/>
      <c r="T274" s="150"/>
      <c r="U274" s="145"/>
      <c r="V274" s="143"/>
      <c r="W274" s="143"/>
      <c r="X274" s="3"/>
      <c r="AB274" s="148"/>
      <c r="AC274" s="148"/>
    </row>
    <row r="275" spans="5:29" x14ac:dyDescent="0.25">
      <c r="E275" s="138"/>
      <c r="F275" s="173"/>
      <c r="G275" s="138"/>
      <c r="H275" s="115"/>
      <c r="I275" s="115"/>
      <c r="J275" s="115"/>
      <c r="K275" s="115"/>
      <c r="L275" s="115"/>
      <c r="M275" s="149"/>
      <c r="N275" s="149"/>
      <c r="O275" s="144"/>
      <c r="P275" s="143"/>
      <c r="Q275" s="144"/>
      <c r="R275" s="144"/>
      <c r="S275" s="144"/>
      <c r="T275" s="150"/>
      <c r="U275" s="145"/>
      <c r="V275" s="143"/>
      <c r="W275" s="143"/>
      <c r="X275" s="3"/>
      <c r="AB275" s="148"/>
      <c r="AC275" s="148"/>
    </row>
    <row r="276" spans="5:29" x14ac:dyDescent="0.25">
      <c r="E276" s="138"/>
      <c r="F276" s="173"/>
      <c r="G276" s="138"/>
      <c r="H276" s="115"/>
      <c r="I276" s="115"/>
      <c r="J276" s="115"/>
      <c r="K276" s="115"/>
      <c r="L276" s="115"/>
      <c r="M276" s="149"/>
      <c r="N276" s="149"/>
      <c r="O276" s="144"/>
      <c r="P276" s="143"/>
      <c r="Q276" s="144"/>
      <c r="R276" s="144"/>
      <c r="S276" s="144"/>
      <c r="T276" s="150"/>
      <c r="U276" s="145"/>
      <c r="V276" s="143"/>
      <c r="W276" s="143"/>
      <c r="X276" s="3"/>
      <c r="AB276" s="148"/>
      <c r="AC276" s="148"/>
    </row>
    <row r="277" spans="5:29" x14ac:dyDescent="0.25">
      <c r="E277" s="138"/>
      <c r="F277" s="173"/>
      <c r="G277" s="138"/>
      <c r="H277" s="115"/>
      <c r="I277" s="115"/>
      <c r="J277" s="115"/>
      <c r="K277" s="115"/>
      <c r="L277" s="115"/>
      <c r="M277" s="149"/>
      <c r="N277" s="149"/>
      <c r="O277" s="144"/>
      <c r="P277" s="143"/>
      <c r="Q277" s="144"/>
      <c r="R277" s="144"/>
      <c r="S277" s="144"/>
      <c r="T277" s="150"/>
      <c r="U277" s="145"/>
      <c r="V277" s="143"/>
      <c r="W277" s="143"/>
      <c r="X277" s="3"/>
      <c r="AB277" s="148"/>
      <c r="AC277" s="148"/>
    </row>
    <row r="278" spans="5:29" x14ac:dyDescent="0.25">
      <c r="E278" s="138"/>
      <c r="F278" s="173"/>
      <c r="G278" s="138"/>
      <c r="H278" s="115"/>
      <c r="I278" s="115"/>
      <c r="J278" s="115"/>
      <c r="K278" s="115"/>
      <c r="L278" s="115"/>
      <c r="M278" s="149"/>
      <c r="N278" s="149"/>
      <c r="O278" s="144"/>
      <c r="P278" s="143"/>
      <c r="Q278" s="144"/>
      <c r="R278" s="144"/>
      <c r="S278" s="144"/>
      <c r="T278" s="150"/>
      <c r="U278" s="145"/>
      <c r="V278" s="143"/>
      <c r="W278" s="143"/>
      <c r="X278" s="3"/>
      <c r="AB278" s="148"/>
      <c r="AC278" s="148"/>
    </row>
    <row r="279" spans="5:29" x14ac:dyDescent="0.25">
      <c r="E279" s="138"/>
      <c r="F279" s="173"/>
      <c r="G279" s="138"/>
      <c r="H279" s="115"/>
      <c r="I279" s="115"/>
      <c r="J279" s="115"/>
      <c r="K279" s="115"/>
      <c r="L279" s="115"/>
      <c r="M279" s="149"/>
      <c r="N279" s="149"/>
      <c r="O279" s="144"/>
      <c r="P279" s="143"/>
      <c r="Q279" s="144"/>
      <c r="R279" s="144"/>
      <c r="S279" s="144"/>
      <c r="T279" s="150"/>
      <c r="U279" s="145"/>
      <c r="V279" s="143"/>
      <c r="W279" s="143"/>
      <c r="X279" s="3"/>
      <c r="AB279" s="148"/>
      <c r="AC279" s="148"/>
    </row>
    <row r="280" spans="5:29" x14ac:dyDescent="0.25">
      <c r="E280" s="138"/>
      <c r="F280" s="173"/>
      <c r="G280" s="138"/>
      <c r="H280" s="115"/>
      <c r="I280" s="115"/>
      <c r="J280" s="115"/>
      <c r="K280" s="115"/>
      <c r="L280" s="115"/>
      <c r="M280" s="149"/>
      <c r="N280" s="149"/>
      <c r="O280" s="144"/>
      <c r="P280" s="143"/>
      <c r="Q280" s="144"/>
      <c r="R280" s="144"/>
      <c r="S280" s="144"/>
      <c r="T280" s="150"/>
      <c r="U280" s="145"/>
      <c r="V280" s="143"/>
      <c r="W280" s="143"/>
      <c r="X280" s="3"/>
      <c r="AB280" s="148"/>
      <c r="AC280" s="148"/>
    </row>
    <row r="281" spans="5:29" x14ac:dyDescent="0.25">
      <c r="E281" s="138"/>
      <c r="F281" s="173"/>
      <c r="G281" s="138"/>
      <c r="H281" s="115"/>
      <c r="I281" s="115"/>
      <c r="J281" s="115"/>
      <c r="K281" s="115"/>
      <c r="L281" s="115"/>
      <c r="M281" s="149"/>
      <c r="N281" s="149"/>
      <c r="O281" s="144"/>
      <c r="P281" s="143"/>
      <c r="Q281" s="144"/>
      <c r="R281" s="144"/>
      <c r="S281" s="144"/>
      <c r="T281" s="150"/>
      <c r="U281" s="145"/>
      <c r="V281" s="143"/>
      <c r="W281" s="143"/>
      <c r="X281" s="3"/>
      <c r="AB281" s="148"/>
      <c r="AC281" s="148"/>
    </row>
    <row r="282" spans="5:29" x14ac:dyDescent="0.25">
      <c r="E282" s="138"/>
      <c r="F282" s="173"/>
      <c r="G282" s="138"/>
      <c r="H282" s="115"/>
      <c r="I282" s="115"/>
      <c r="J282" s="115"/>
      <c r="K282" s="115"/>
      <c r="L282" s="115"/>
      <c r="M282" s="149"/>
      <c r="N282" s="149"/>
      <c r="O282" s="144"/>
      <c r="P282" s="143"/>
      <c r="Q282" s="144"/>
      <c r="R282" s="144"/>
      <c r="S282" s="144"/>
      <c r="T282" s="150"/>
      <c r="U282" s="145"/>
      <c r="V282" s="143"/>
      <c r="W282" s="143"/>
      <c r="X282" s="3"/>
      <c r="AB282" s="148"/>
      <c r="AC282" s="148"/>
    </row>
    <row r="283" spans="5:29" x14ac:dyDescent="0.25">
      <c r="E283" s="138"/>
      <c r="F283" s="173"/>
      <c r="G283" s="138"/>
      <c r="H283" s="115"/>
      <c r="I283" s="115"/>
      <c r="J283" s="115"/>
      <c r="K283" s="115"/>
      <c r="L283" s="115"/>
      <c r="M283" s="149"/>
      <c r="N283" s="149"/>
      <c r="O283" s="144"/>
      <c r="P283" s="143"/>
      <c r="Q283" s="144"/>
      <c r="R283" s="144"/>
      <c r="S283" s="144"/>
      <c r="T283" s="150"/>
      <c r="U283" s="145"/>
      <c r="V283" s="143"/>
      <c r="W283" s="143"/>
      <c r="X283" s="3"/>
      <c r="AB283" s="148"/>
      <c r="AC283" s="148"/>
    </row>
    <row r="284" spans="5:29" x14ac:dyDescent="0.25">
      <c r="E284" s="138"/>
      <c r="F284" s="173"/>
      <c r="G284" s="138"/>
      <c r="H284" s="115"/>
      <c r="I284" s="115"/>
      <c r="J284" s="115"/>
      <c r="K284" s="115"/>
      <c r="L284" s="115"/>
      <c r="M284" s="149"/>
      <c r="N284" s="149"/>
      <c r="O284" s="144"/>
      <c r="P284" s="143"/>
      <c r="Q284" s="144"/>
      <c r="R284" s="144"/>
      <c r="S284" s="144"/>
      <c r="T284" s="150"/>
      <c r="U284" s="145"/>
      <c r="V284" s="143"/>
      <c r="W284" s="143"/>
      <c r="X284" s="3"/>
      <c r="AB284" s="148"/>
      <c r="AC284" s="148"/>
    </row>
    <row r="285" spans="5:29" x14ac:dyDescent="0.25">
      <c r="E285" s="138"/>
      <c r="F285" s="173"/>
      <c r="G285" s="138"/>
      <c r="H285" s="115"/>
      <c r="I285" s="115"/>
      <c r="J285" s="115"/>
      <c r="K285" s="115"/>
      <c r="L285" s="115"/>
      <c r="M285" s="149"/>
      <c r="N285" s="149"/>
      <c r="O285" s="144"/>
      <c r="P285" s="143"/>
      <c r="Q285" s="144"/>
      <c r="R285" s="144"/>
      <c r="S285" s="144"/>
      <c r="T285" s="150"/>
      <c r="U285" s="145"/>
      <c r="V285" s="143"/>
      <c r="W285" s="143"/>
      <c r="X285" s="3"/>
      <c r="AB285" s="148"/>
      <c r="AC285" s="148"/>
    </row>
    <row r="286" spans="5:29" x14ac:dyDescent="0.25">
      <c r="E286" s="138"/>
      <c r="F286" s="173"/>
      <c r="G286" s="138"/>
      <c r="H286" s="115"/>
      <c r="I286" s="115"/>
      <c r="J286" s="115"/>
      <c r="K286" s="115"/>
      <c r="L286" s="115"/>
      <c r="M286" s="149"/>
      <c r="N286" s="149"/>
      <c r="O286" s="144"/>
      <c r="P286" s="143"/>
      <c r="Q286" s="144"/>
      <c r="R286" s="144"/>
      <c r="S286" s="144"/>
      <c r="T286" s="150"/>
      <c r="U286" s="145"/>
      <c r="V286" s="143"/>
      <c r="W286" s="143"/>
      <c r="X286" s="3"/>
      <c r="AB286" s="148"/>
      <c r="AC286" s="148"/>
    </row>
    <row r="287" spans="5:29" x14ac:dyDescent="0.25">
      <c r="E287" s="138"/>
      <c r="F287" s="173"/>
      <c r="G287" s="138"/>
      <c r="H287" s="115"/>
      <c r="I287" s="115"/>
      <c r="J287" s="115"/>
      <c r="K287" s="115"/>
      <c r="L287" s="115"/>
      <c r="M287" s="149"/>
      <c r="N287" s="149"/>
      <c r="O287" s="144"/>
      <c r="P287" s="143"/>
      <c r="Q287" s="144"/>
      <c r="R287" s="144"/>
      <c r="S287" s="144"/>
      <c r="T287" s="150"/>
      <c r="U287" s="145"/>
      <c r="V287" s="143"/>
      <c r="W287" s="143"/>
      <c r="X287" s="3"/>
      <c r="AB287" s="148"/>
      <c r="AC287" s="148"/>
    </row>
    <row r="288" spans="5:29" x14ac:dyDescent="0.25">
      <c r="E288" s="138"/>
      <c r="F288" s="173"/>
      <c r="G288" s="138"/>
      <c r="H288" s="115"/>
      <c r="I288" s="115"/>
      <c r="J288" s="115"/>
      <c r="K288" s="115"/>
      <c r="L288" s="115"/>
      <c r="M288" s="149"/>
      <c r="N288" s="149"/>
      <c r="O288" s="144"/>
      <c r="P288" s="143"/>
      <c r="Q288" s="144"/>
      <c r="R288" s="144"/>
      <c r="S288" s="144"/>
      <c r="T288" s="150"/>
      <c r="U288" s="145"/>
      <c r="V288" s="143"/>
      <c r="W288" s="143"/>
      <c r="X288" s="3"/>
      <c r="AB288" s="148"/>
      <c r="AC288" s="148"/>
    </row>
    <row r="289" spans="5:29" x14ac:dyDescent="0.25">
      <c r="E289" s="138"/>
      <c r="F289" s="173"/>
      <c r="G289" s="138"/>
      <c r="H289" s="115"/>
      <c r="I289" s="115"/>
      <c r="J289" s="115"/>
      <c r="K289" s="115"/>
      <c r="L289" s="115"/>
      <c r="M289" s="149"/>
      <c r="N289" s="149"/>
      <c r="O289" s="144"/>
      <c r="P289" s="143"/>
      <c r="Q289" s="144"/>
      <c r="R289" s="144"/>
      <c r="S289" s="144"/>
      <c r="T289" s="150"/>
      <c r="U289" s="145"/>
      <c r="V289" s="143"/>
      <c r="W289" s="143"/>
      <c r="X289" s="3"/>
      <c r="AB289" s="148"/>
      <c r="AC289" s="148"/>
    </row>
    <row r="290" spans="5:29" x14ac:dyDescent="0.25">
      <c r="E290" s="138"/>
      <c r="F290" s="173"/>
      <c r="G290" s="138"/>
      <c r="H290" s="115"/>
      <c r="I290" s="115"/>
      <c r="J290" s="115"/>
      <c r="K290" s="115"/>
      <c r="L290" s="115"/>
      <c r="M290" s="149"/>
      <c r="N290" s="149"/>
      <c r="O290" s="144"/>
      <c r="P290" s="143"/>
      <c r="Q290" s="144"/>
      <c r="R290" s="144"/>
      <c r="S290" s="144"/>
      <c r="T290" s="150"/>
      <c r="U290" s="145"/>
      <c r="V290" s="143"/>
      <c r="W290" s="143"/>
      <c r="X290" s="3"/>
      <c r="AB290" s="148"/>
      <c r="AC290" s="148"/>
    </row>
    <row r="291" spans="5:29" x14ac:dyDescent="0.25">
      <c r="E291" s="138"/>
      <c r="F291" s="173"/>
      <c r="G291" s="138"/>
      <c r="H291" s="115"/>
      <c r="I291" s="115"/>
      <c r="J291" s="115"/>
      <c r="K291" s="115"/>
      <c r="L291" s="115"/>
      <c r="M291" s="149"/>
      <c r="N291" s="149"/>
      <c r="O291" s="144"/>
      <c r="P291" s="143"/>
      <c r="Q291" s="144"/>
      <c r="R291" s="144"/>
      <c r="S291" s="144"/>
      <c r="T291" s="150"/>
      <c r="U291" s="145"/>
      <c r="V291" s="143"/>
      <c r="W291" s="143"/>
      <c r="X291" s="3"/>
      <c r="AB291" s="148"/>
      <c r="AC291" s="148"/>
    </row>
    <row r="292" spans="5:29" x14ac:dyDescent="0.25">
      <c r="E292" s="138"/>
      <c r="F292" s="173"/>
      <c r="G292" s="138"/>
      <c r="H292" s="115"/>
      <c r="I292" s="115"/>
      <c r="J292" s="115"/>
      <c r="K292" s="115"/>
      <c r="L292" s="115"/>
      <c r="M292" s="149"/>
      <c r="N292" s="149"/>
      <c r="O292" s="144"/>
      <c r="P292" s="143"/>
      <c r="Q292" s="144"/>
      <c r="R292" s="144"/>
      <c r="S292" s="144"/>
      <c r="T292" s="150"/>
      <c r="U292" s="145"/>
      <c r="V292" s="143"/>
      <c r="W292" s="143"/>
      <c r="X292" s="3"/>
      <c r="AB292" s="148"/>
      <c r="AC292" s="148"/>
    </row>
    <row r="293" spans="5:29" x14ac:dyDescent="0.25">
      <c r="E293" s="138"/>
      <c r="F293" s="173"/>
      <c r="G293" s="138"/>
      <c r="H293" s="115"/>
      <c r="I293" s="115"/>
      <c r="J293" s="115"/>
      <c r="K293" s="115"/>
      <c r="L293" s="115"/>
      <c r="M293" s="149"/>
      <c r="N293" s="149"/>
      <c r="O293" s="144"/>
      <c r="P293" s="143"/>
      <c r="Q293" s="144"/>
      <c r="R293" s="144"/>
      <c r="S293" s="144"/>
      <c r="T293" s="150"/>
      <c r="U293" s="145"/>
      <c r="V293" s="143"/>
      <c r="W293" s="143"/>
      <c r="X293" s="3"/>
      <c r="AB293" s="148"/>
      <c r="AC293" s="148"/>
    </row>
    <row r="294" spans="5:29" x14ac:dyDescent="0.25">
      <c r="E294" s="138"/>
      <c r="F294" s="173"/>
      <c r="G294" s="138"/>
      <c r="H294" s="115"/>
      <c r="I294" s="115"/>
      <c r="J294" s="115"/>
      <c r="K294" s="115"/>
      <c r="L294" s="115"/>
      <c r="M294" s="149"/>
      <c r="N294" s="149"/>
      <c r="O294" s="144"/>
      <c r="P294" s="143"/>
      <c r="Q294" s="144"/>
      <c r="R294" s="144"/>
      <c r="S294" s="144"/>
      <c r="T294" s="150"/>
      <c r="U294" s="145"/>
      <c r="V294" s="143"/>
      <c r="W294" s="143"/>
      <c r="X294" s="3"/>
      <c r="AB294" s="148"/>
      <c r="AC294" s="148"/>
    </row>
    <row r="295" spans="5:29" x14ac:dyDescent="0.25">
      <c r="E295" s="138"/>
      <c r="F295" s="173"/>
      <c r="G295" s="138"/>
      <c r="H295" s="115"/>
      <c r="I295" s="115"/>
      <c r="J295" s="115"/>
      <c r="K295" s="115"/>
      <c r="L295" s="115"/>
      <c r="M295" s="149"/>
      <c r="N295" s="149"/>
      <c r="O295" s="144"/>
      <c r="P295" s="143"/>
      <c r="Q295" s="144"/>
      <c r="R295" s="144"/>
      <c r="S295" s="144"/>
      <c r="T295" s="150"/>
      <c r="U295" s="145"/>
      <c r="V295" s="143"/>
      <c r="W295" s="143"/>
      <c r="X295" s="3"/>
      <c r="AB295" s="148"/>
      <c r="AC295" s="148"/>
    </row>
    <row r="296" spans="5:29" x14ac:dyDescent="0.25">
      <c r="E296" s="138"/>
      <c r="F296" s="173"/>
      <c r="G296" s="138"/>
      <c r="H296" s="115"/>
      <c r="I296" s="115"/>
      <c r="J296" s="115"/>
      <c r="K296" s="115"/>
      <c r="L296" s="115"/>
      <c r="M296" s="149"/>
      <c r="N296" s="149"/>
      <c r="O296" s="144"/>
      <c r="P296" s="143"/>
      <c r="Q296" s="144"/>
      <c r="R296" s="144"/>
      <c r="S296" s="144"/>
      <c r="T296" s="150"/>
      <c r="U296" s="145"/>
      <c r="V296" s="143"/>
      <c r="W296" s="143"/>
      <c r="X296" s="3"/>
      <c r="AB296" s="148"/>
      <c r="AC296" s="148"/>
    </row>
    <row r="297" spans="5:29" x14ac:dyDescent="0.25">
      <c r="E297" s="138"/>
      <c r="F297" s="173"/>
      <c r="G297" s="138"/>
      <c r="H297" s="115"/>
      <c r="I297" s="115"/>
      <c r="J297" s="115"/>
      <c r="K297" s="115"/>
      <c r="L297" s="115"/>
      <c r="M297" s="149"/>
      <c r="N297" s="149"/>
      <c r="O297" s="144"/>
      <c r="P297" s="143"/>
      <c r="Q297" s="144"/>
      <c r="R297" s="144"/>
      <c r="S297" s="144"/>
      <c r="T297" s="150"/>
      <c r="U297" s="145"/>
      <c r="V297" s="143"/>
      <c r="W297" s="143"/>
      <c r="X297" s="3"/>
      <c r="AB297" s="148"/>
      <c r="AC297" s="148"/>
    </row>
    <row r="298" spans="5:29" x14ac:dyDescent="0.25">
      <c r="E298" s="138"/>
      <c r="F298" s="173"/>
      <c r="G298" s="138"/>
      <c r="H298" s="115"/>
      <c r="I298" s="115"/>
      <c r="J298" s="115"/>
      <c r="K298" s="115"/>
      <c r="L298" s="115"/>
      <c r="M298" s="149"/>
      <c r="N298" s="149"/>
      <c r="O298" s="144"/>
      <c r="P298" s="143"/>
      <c r="Q298" s="144"/>
      <c r="R298" s="144"/>
      <c r="S298" s="144"/>
      <c r="T298" s="150"/>
      <c r="U298" s="145"/>
      <c r="V298" s="143"/>
      <c r="W298" s="143"/>
      <c r="X298" s="3"/>
      <c r="AB298" s="148"/>
      <c r="AC298" s="148"/>
    </row>
    <row r="299" spans="5:29" x14ac:dyDescent="0.25">
      <c r="E299" s="138"/>
      <c r="F299" s="173"/>
      <c r="G299" s="138"/>
      <c r="H299" s="115"/>
      <c r="I299" s="115"/>
      <c r="J299" s="115"/>
      <c r="K299" s="115"/>
      <c r="L299" s="115"/>
      <c r="M299" s="149"/>
      <c r="N299" s="149"/>
      <c r="O299" s="144"/>
      <c r="P299" s="143"/>
      <c r="Q299" s="144"/>
      <c r="R299" s="144"/>
      <c r="S299" s="144"/>
      <c r="T299" s="150"/>
      <c r="U299" s="145"/>
      <c r="V299" s="143"/>
      <c r="W299" s="143"/>
      <c r="X299" s="3"/>
      <c r="AB299" s="148"/>
      <c r="AC299" s="148"/>
    </row>
    <row r="300" spans="5:29" x14ac:dyDescent="0.25">
      <c r="E300" s="138"/>
      <c r="F300" s="173"/>
      <c r="G300" s="138"/>
      <c r="H300" s="115"/>
      <c r="I300" s="115"/>
      <c r="J300" s="115"/>
      <c r="K300" s="115"/>
      <c r="L300" s="115"/>
      <c r="M300" s="149"/>
      <c r="N300" s="149"/>
      <c r="O300" s="144"/>
      <c r="P300" s="143"/>
      <c r="Q300" s="144"/>
      <c r="R300" s="144"/>
      <c r="S300" s="144"/>
      <c r="T300" s="150"/>
      <c r="U300" s="145"/>
      <c r="V300" s="143"/>
      <c r="W300" s="143"/>
      <c r="X300" s="3"/>
      <c r="AB300" s="148"/>
      <c r="AC300" s="148"/>
    </row>
    <row r="301" spans="5:29" x14ac:dyDescent="0.25">
      <c r="E301" s="138"/>
      <c r="F301" s="173"/>
      <c r="G301" s="138"/>
      <c r="H301" s="115"/>
      <c r="I301" s="115"/>
      <c r="J301" s="115"/>
      <c r="K301" s="115"/>
      <c r="L301" s="115"/>
      <c r="M301" s="149"/>
      <c r="N301" s="149"/>
      <c r="O301" s="144"/>
      <c r="P301" s="143"/>
      <c r="Q301" s="144"/>
      <c r="R301" s="144"/>
      <c r="S301" s="144"/>
      <c r="T301" s="150"/>
      <c r="U301" s="145"/>
      <c r="V301" s="143"/>
      <c r="W301" s="143"/>
      <c r="X301" s="3"/>
      <c r="AB301" s="148"/>
      <c r="AC301" s="148"/>
    </row>
    <row r="302" spans="5:29" x14ac:dyDescent="0.25">
      <c r="E302" s="138"/>
      <c r="F302" s="173"/>
      <c r="G302" s="138"/>
      <c r="H302" s="115"/>
      <c r="I302" s="115"/>
      <c r="J302" s="115"/>
      <c r="K302" s="115"/>
      <c r="L302" s="115"/>
      <c r="M302" s="149"/>
      <c r="N302" s="149"/>
      <c r="O302" s="144"/>
      <c r="P302" s="143"/>
      <c r="Q302" s="144"/>
      <c r="R302" s="144"/>
      <c r="S302" s="144"/>
      <c r="T302" s="150"/>
      <c r="U302" s="145"/>
      <c r="V302" s="143"/>
      <c r="W302" s="143"/>
      <c r="X302" s="3"/>
      <c r="AB302" s="148"/>
      <c r="AC302" s="148"/>
    </row>
    <row r="303" spans="5:29" x14ac:dyDescent="0.25">
      <c r="E303" s="138"/>
      <c r="F303" s="173"/>
      <c r="G303" s="138"/>
      <c r="H303" s="115"/>
      <c r="I303" s="115"/>
      <c r="J303" s="115"/>
      <c r="K303" s="115"/>
      <c r="L303" s="115"/>
      <c r="M303" s="149"/>
      <c r="N303" s="149"/>
      <c r="O303" s="144"/>
      <c r="P303" s="143"/>
      <c r="Q303" s="144"/>
      <c r="R303" s="144"/>
      <c r="S303" s="144"/>
      <c r="T303" s="150"/>
      <c r="U303" s="145"/>
      <c r="V303" s="143"/>
      <c r="W303" s="143"/>
      <c r="X303" s="3"/>
      <c r="AB303" s="148"/>
      <c r="AC303" s="148"/>
    </row>
    <row r="304" spans="5:29" x14ac:dyDescent="0.25">
      <c r="E304" s="138"/>
      <c r="F304" s="173"/>
      <c r="G304" s="138"/>
      <c r="H304" s="115"/>
      <c r="I304" s="115"/>
      <c r="J304" s="115"/>
      <c r="K304" s="115"/>
      <c r="L304" s="115"/>
      <c r="M304" s="149"/>
      <c r="N304" s="149"/>
      <c r="O304" s="144"/>
      <c r="P304" s="143"/>
      <c r="Q304" s="144"/>
      <c r="R304" s="144"/>
      <c r="S304" s="144"/>
      <c r="T304" s="150"/>
      <c r="U304" s="145"/>
      <c r="V304" s="143"/>
      <c r="W304" s="143"/>
      <c r="X304" s="3"/>
      <c r="AB304" s="148"/>
      <c r="AC304" s="148"/>
    </row>
    <row r="305" spans="5:29" x14ac:dyDescent="0.25">
      <c r="E305" s="138"/>
      <c r="F305" s="173"/>
      <c r="G305" s="138"/>
      <c r="H305" s="115"/>
      <c r="I305" s="115"/>
      <c r="J305" s="115"/>
      <c r="K305" s="115"/>
      <c r="L305" s="115"/>
      <c r="M305" s="149"/>
      <c r="N305" s="149"/>
      <c r="O305" s="144"/>
      <c r="P305" s="143"/>
      <c r="Q305" s="144"/>
      <c r="R305" s="144"/>
      <c r="S305" s="144"/>
      <c r="T305" s="150"/>
      <c r="U305" s="145"/>
      <c r="V305" s="143"/>
      <c r="W305" s="143"/>
      <c r="X305" s="3"/>
      <c r="AB305" s="148"/>
      <c r="AC305" s="148"/>
    </row>
    <row r="306" spans="5:29" x14ac:dyDescent="0.25">
      <c r="E306" s="138"/>
      <c r="F306" s="173"/>
      <c r="G306" s="138"/>
      <c r="H306" s="115"/>
      <c r="I306" s="115"/>
      <c r="J306" s="115"/>
      <c r="K306" s="115"/>
      <c r="L306" s="115"/>
      <c r="M306" s="149"/>
      <c r="N306" s="149"/>
      <c r="O306" s="144"/>
      <c r="P306" s="143"/>
      <c r="Q306" s="144"/>
      <c r="R306" s="144"/>
      <c r="S306" s="144"/>
      <c r="T306" s="150"/>
      <c r="U306" s="145"/>
      <c r="V306" s="143"/>
      <c r="W306" s="143"/>
      <c r="X306" s="3"/>
      <c r="AB306" s="148"/>
      <c r="AC306" s="148"/>
    </row>
    <row r="307" spans="5:29" x14ac:dyDescent="0.25">
      <c r="E307" s="138"/>
      <c r="F307" s="173"/>
      <c r="G307" s="138"/>
      <c r="H307" s="115"/>
      <c r="I307" s="115"/>
      <c r="J307" s="115"/>
      <c r="K307" s="115"/>
      <c r="L307" s="115"/>
      <c r="M307" s="149"/>
      <c r="N307" s="149"/>
      <c r="O307" s="144"/>
      <c r="P307" s="143"/>
      <c r="Q307" s="144"/>
      <c r="R307" s="144"/>
      <c r="S307" s="144"/>
      <c r="T307" s="150"/>
      <c r="U307" s="145"/>
      <c r="V307" s="143"/>
      <c r="W307" s="143"/>
      <c r="X307" s="3"/>
      <c r="AB307" s="148"/>
      <c r="AC307" s="148"/>
    </row>
    <row r="308" spans="5:29" x14ac:dyDescent="0.25">
      <c r="E308" s="138"/>
      <c r="F308" s="173"/>
      <c r="G308" s="138"/>
      <c r="H308" s="115"/>
      <c r="I308" s="115"/>
      <c r="J308" s="115"/>
      <c r="K308" s="115"/>
      <c r="L308" s="115"/>
      <c r="M308" s="149"/>
      <c r="N308" s="149"/>
      <c r="O308" s="144"/>
      <c r="P308" s="143"/>
      <c r="Q308" s="144"/>
      <c r="R308" s="144"/>
      <c r="S308" s="144"/>
      <c r="T308" s="150"/>
      <c r="U308" s="145"/>
      <c r="V308" s="143"/>
      <c r="W308" s="143"/>
      <c r="X308" s="3"/>
      <c r="AB308" s="148"/>
      <c r="AC308" s="148"/>
    </row>
    <row r="309" spans="5:29" x14ac:dyDescent="0.25">
      <c r="E309" s="138"/>
      <c r="F309" s="173"/>
      <c r="G309" s="138"/>
      <c r="H309" s="115"/>
      <c r="I309" s="115"/>
      <c r="J309" s="115"/>
      <c r="K309" s="115"/>
      <c r="L309" s="115"/>
      <c r="M309" s="149"/>
      <c r="N309" s="149"/>
      <c r="O309" s="144"/>
      <c r="P309" s="143"/>
      <c r="Q309" s="144"/>
      <c r="R309" s="144"/>
      <c r="S309" s="144"/>
      <c r="T309" s="150"/>
      <c r="U309" s="145"/>
      <c r="V309" s="143"/>
      <c r="W309" s="143"/>
      <c r="X309" s="3"/>
      <c r="AB309" s="148"/>
      <c r="AC309" s="148"/>
    </row>
    <row r="310" spans="5:29" x14ac:dyDescent="0.25">
      <c r="E310" s="138"/>
      <c r="F310" s="173"/>
      <c r="G310" s="138"/>
      <c r="H310" s="115"/>
      <c r="I310" s="115"/>
      <c r="J310" s="115"/>
      <c r="K310" s="115"/>
      <c r="L310" s="115"/>
      <c r="M310" s="149"/>
      <c r="N310" s="149"/>
      <c r="O310" s="144"/>
      <c r="P310" s="143"/>
      <c r="Q310" s="144"/>
      <c r="R310" s="144"/>
      <c r="S310" s="144"/>
      <c r="T310" s="150"/>
      <c r="U310" s="145"/>
      <c r="V310" s="143"/>
      <c r="W310" s="143"/>
      <c r="X310" s="3"/>
      <c r="AB310" s="148"/>
      <c r="AC310" s="148"/>
    </row>
    <row r="311" spans="5:29" x14ac:dyDescent="0.25">
      <c r="E311" s="138"/>
      <c r="F311" s="173"/>
      <c r="G311" s="138"/>
      <c r="H311" s="115"/>
      <c r="I311" s="115"/>
      <c r="J311" s="115"/>
      <c r="K311" s="115"/>
      <c r="L311" s="115"/>
      <c r="M311" s="149"/>
      <c r="N311" s="149"/>
      <c r="O311" s="144"/>
      <c r="P311" s="143"/>
      <c r="Q311" s="144"/>
      <c r="R311" s="144"/>
      <c r="S311" s="144"/>
      <c r="T311" s="150"/>
      <c r="U311" s="145"/>
      <c r="V311" s="143"/>
      <c r="W311" s="143"/>
      <c r="X311" s="3"/>
      <c r="AB311" s="148"/>
      <c r="AC311" s="148"/>
    </row>
    <row r="312" spans="5:29" x14ac:dyDescent="0.25">
      <c r="E312" s="138"/>
      <c r="F312" s="173"/>
      <c r="G312" s="138"/>
      <c r="H312" s="115"/>
      <c r="I312" s="115"/>
      <c r="J312" s="115"/>
      <c r="K312" s="115"/>
      <c r="L312" s="115"/>
      <c r="M312" s="149"/>
      <c r="N312" s="149"/>
      <c r="O312" s="144"/>
      <c r="P312" s="143"/>
      <c r="Q312" s="144"/>
      <c r="R312" s="144"/>
      <c r="S312" s="144"/>
      <c r="T312" s="150"/>
      <c r="U312" s="145"/>
      <c r="V312" s="143"/>
      <c r="W312" s="143"/>
      <c r="X312" s="3"/>
      <c r="AB312" s="148"/>
      <c r="AC312" s="148"/>
    </row>
    <row r="313" spans="5:29" x14ac:dyDescent="0.25">
      <c r="E313" s="138"/>
      <c r="F313" s="173"/>
      <c r="G313" s="138"/>
      <c r="H313" s="115"/>
      <c r="I313" s="115"/>
      <c r="J313" s="115"/>
      <c r="K313" s="115"/>
      <c r="L313" s="115"/>
      <c r="M313" s="149"/>
      <c r="N313" s="149"/>
      <c r="O313" s="144"/>
      <c r="P313" s="143"/>
      <c r="Q313" s="144"/>
      <c r="R313" s="144"/>
      <c r="S313" s="144"/>
      <c r="T313" s="150"/>
      <c r="U313" s="145"/>
      <c r="V313" s="143"/>
      <c r="W313" s="143"/>
      <c r="X313" s="3"/>
      <c r="AB313" s="148"/>
      <c r="AC313" s="148"/>
    </row>
    <row r="314" spans="5:29" x14ac:dyDescent="0.25">
      <c r="E314" s="138"/>
      <c r="F314" s="173"/>
      <c r="G314" s="138"/>
      <c r="H314" s="115"/>
      <c r="I314" s="115"/>
      <c r="J314" s="115"/>
      <c r="K314" s="115"/>
      <c r="L314" s="115"/>
      <c r="M314" s="149"/>
      <c r="N314" s="149"/>
      <c r="O314" s="144"/>
      <c r="P314" s="143"/>
      <c r="Q314" s="144"/>
      <c r="R314" s="144"/>
      <c r="S314" s="144"/>
      <c r="T314" s="150"/>
      <c r="U314" s="145"/>
      <c r="V314" s="143"/>
      <c r="W314" s="143"/>
      <c r="X314" s="3"/>
      <c r="AB314" s="148"/>
      <c r="AC314" s="148"/>
    </row>
    <row r="315" spans="5:29" x14ac:dyDescent="0.25">
      <c r="E315" s="138"/>
      <c r="F315" s="173"/>
      <c r="G315" s="138"/>
      <c r="H315" s="115"/>
      <c r="I315" s="115"/>
      <c r="J315" s="115"/>
      <c r="K315" s="115"/>
      <c r="L315" s="115"/>
      <c r="M315" s="149"/>
      <c r="N315" s="149"/>
      <c r="O315" s="144"/>
      <c r="P315" s="143"/>
      <c r="Q315" s="144"/>
      <c r="R315" s="144"/>
      <c r="S315" s="144"/>
      <c r="T315" s="150"/>
      <c r="U315" s="145"/>
      <c r="V315" s="143"/>
      <c r="W315" s="143"/>
      <c r="X315" s="3"/>
      <c r="AB315" s="148"/>
      <c r="AC315" s="148"/>
    </row>
    <row r="316" spans="5:29" x14ac:dyDescent="0.25">
      <c r="E316" s="138"/>
      <c r="F316" s="173"/>
      <c r="G316" s="138"/>
      <c r="H316" s="115"/>
      <c r="I316" s="115"/>
      <c r="J316" s="115"/>
      <c r="K316" s="115"/>
      <c r="L316" s="115"/>
      <c r="M316" s="149"/>
      <c r="N316" s="149"/>
      <c r="O316" s="144"/>
      <c r="P316" s="143"/>
      <c r="Q316" s="144"/>
      <c r="R316" s="144"/>
      <c r="S316" s="144"/>
      <c r="T316" s="150"/>
      <c r="U316" s="145"/>
      <c r="V316" s="143"/>
      <c r="W316" s="143"/>
      <c r="X316" s="3"/>
      <c r="AB316" s="148"/>
      <c r="AC316" s="148"/>
    </row>
    <row r="317" spans="5:29" x14ac:dyDescent="0.25">
      <c r="E317" s="138"/>
      <c r="F317" s="173"/>
      <c r="G317" s="138"/>
      <c r="H317" s="115"/>
      <c r="I317" s="115"/>
      <c r="J317" s="115"/>
      <c r="K317" s="115"/>
      <c r="L317" s="115"/>
      <c r="M317" s="149"/>
      <c r="N317" s="149"/>
      <c r="O317" s="144"/>
      <c r="P317" s="143"/>
      <c r="Q317" s="144"/>
      <c r="R317" s="144"/>
      <c r="S317" s="144"/>
      <c r="T317" s="150"/>
      <c r="U317" s="145"/>
      <c r="V317" s="143"/>
      <c r="W317" s="143"/>
      <c r="X317" s="3"/>
      <c r="AB317" s="148"/>
      <c r="AC317" s="148"/>
    </row>
    <row r="318" spans="5:29" x14ac:dyDescent="0.25">
      <c r="E318" s="138"/>
      <c r="F318" s="173"/>
      <c r="G318" s="138"/>
      <c r="H318" s="115"/>
      <c r="I318" s="115"/>
      <c r="J318" s="115"/>
      <c r="K318" s="115"/>
      <c r="L318" s="115"/>
      <c r="M318" s="149"/>
      <c r="N318" s="149"/>
      <c r="O318" s="144"/>
      <c r="P318" s="143"/>
      <c r="Q318" s="144"/>
      <c r="R318" s="144"/>
      <c r="S318" s="144"/>
      <c r="T318" s="150"/>
      <c r="U318" s="145"/>
      <c r="V318" s="143"/>
      <c r="W318" s="143"/>
      <c r="X318" s="3"/>
      <c r="AB318" s="148"/>
      <c r="AC318" s="148"/>
    </row>
    <row r="319" spans="5:29" x14ac:dyDescent="0.25">
      <c r="E319" s="138"/>
      <c r="F319" s="173"/>
      <c r="G319" s="138"/>
      <c r="H319" s="115"/>
      <c r="I319" s="115"/>
      <c r="J319" s="115"/>
      <c r="K319" s="115"/>
      <c r="L319" s="115"/>
      <c r="M319" s="149"/>
      <c r="N319" s="149"/>
      <c r="O319" s="144"/>
      <c r="P319" s="143"/>
      <c r="Q319" s="144"/>
      <c r="R319" s="144"/>
      <c r="S319" s="144"/>
      <c r="T319" s="150"/>
      <c r="U319" s="145"/>
      <c r="V319" s="143"/>
      <c r="W319" s="143"/>
      <c r="X319" s="3"/>
      <c r="AB319" s="148"/>
      <c r="AC319" s="148"/>
    </row>
    <row r="320" spans="5:29" x14ac:dyDescent="0.25">
      <c r="E320" s="138"/>
      <c r="F320" s="173"/>
      <c r="G320" s="138"/>
      <c r="H320" s="115"/>
      <c r="I320" s="115"/>
      <c r="J320" s="115"/>
      <c r="K320" s="115"/>
      <c r="L320" s="115"/>
      <c r="M320" s="149"/>
      <c r="N320" s="149"/>
      <c r="O320" s="144"/>
      <c r="P320" s="143"/>
      <c r="Q320" s="144"/>
      <c r="R320" s="144"/>
      <c r="S320" s="144"/>
      <c r="T320" s="150"/>
      <c r="U320" s="145"/>
      <c r="V320" s="143"/>
      <c r="W320" s="143"/>
      <c r="X320" s="3"/>
      <c r="AB320" s="148"/>
      <c r="AC320" s="148"/>
    </row>
    <row r="321" spans="5:29" x14ac:dyDescent="0.25">
      <c r="E321" s="138"/>
      <c r="F321" s="173"/>
      <c r="G321" s="138"/>
      <c r="H321" s="115"/>
      <c r="I321" s="115"/>
      <c r="J321" s="115"/>
      <c r="K321" s="115"/>
      <c r="L321" s="115"/>
      <c r="M321" s="149"/>
      <c r="N321" s="149"/>
      <c r="O321" s="144"/>
      <c r="P321" s="143"/>
      <c r="Q321" s="144"/>
      <c r="R321" s="144"/>
      <c r="S321" s="144"/>
      <c r="T321" s="150"/>
      <c r="U321" s="145"/>
      <c r="V321" s="143"/>
      <c r="W321" s="143"/>
      <c r="X321" s="3"/>
      <c r="AB321" s="148"/>
      <c r="AC321" s="148"/>
    </row>
    <row r="322" spans="5:29" x14ac:dyDescent="0.25">
      <c r="E322" s="138"/>
      <c r="F322" s="173"/>
      <c r="G322" s="138"/>
      <c r="H322" s="115"/>
      <c r="I322" s="115"/>
      <c r="J322" s="115"/>
      <c r="K322" s="115"/>
      <c r="L322" s="115"/>
      <c r="M322" s="149"/>
      <c r="N322" s="149"/>
      <c r="O322" s="144"/>
      <c r="P322" s="143"/>
      <c r="Q322" s="144"/>
      <c r="R322" s="144"/>
      <c r="S322" s="144"/>
      <c r="T322" s="150"/>
      <c r="U322" s="145"/>
      <c r="V322" s="143"/>
      <c r="W322" s="143"/>
      <c r="X322" s="3"/>
      <c r="AB322" s="148"/>
      <c r="AC322" s="148"/>
    </row>
    <row r="323" spans="5:29" x14ac:dyDescent="0.25">
      <c r="E323" s="138"/>
      <c r="F323" s="173"/>
      <c r="G323" s="138"/>
      <c r="H323" s="115"/>
      <c r="I323" s="115"/>
      <c r="J323" s="115"/>
      <c r="K323" s="115"/>
      <c r="L323" s="115"/>
      <c r="M323" s="149"/>
      <c r="N323" s="149"/>
      <c r="O323" s="144"/>
      <c r="P323" s="143"/>
      <c r="Q323" s="144"/>
      <c r="R323" s="144"/>
      <c r="S323" s="144"/>
      <c r="T323" s="150"/>
      <c r="U323" s="145"/>
      <c r="V323" s="143"/>
      <c r="W323" s="143"/>
      <c r="X323" s="3"/>
      <c r="AB323" s="148"/>
      <c r="AC323" s="148"/>
    </row>
    <row r="324" spans="5:29" x14ac:dyDescent="0.25">
      <c r="E324" s="138"/>
      <c r="F324" s="173"/>
      <c r="G324" s="138"/>
      <c r="H324" s="115"/>
      <c r="I324" s="115"/>
      <c r="J324" s="115"/>
      <c r="K324" s="115"/>
      <c r="L324" s="115"/>
      <c r="M324" s="149"/>
      <c r="N324" s="149"/>
      <c r="O324" s="144"/>
      <c r="P324" s="143"/>
      <c r="Q324" s="144"/>
      <c r="R324" s="144"/>
      <c r="S324" s="144"/>
      <c r="T324" s="150"/>
      <c r="U324" s="145"/>
      <c r="V324" s="143"/>
      <c r="W324" s="143"/>
      <c r="X324" s="3"/>
      <c r="AB324" s="148"/>
      <c r="AC324" s="148"/>
    </row>
    <row r="325" spans="5:29" x14ac:dyDescent="0.25">
      <c r="E325" s="138"/>
      <c r="F325" s="173"/>
      <c r="G325" s="138"/>
      <c r="H325" s="115"/>
      <c r="I325" s="115"/>
      <c r="J325" s="115"/>
      <c r="K325" s="115"/>
      <c r="L325" s="115"/>
      <c r="M325" s="149"/>
      <c r="N325" s="149"/>
      <c r="O325" s="144"/>
      <c r="P325" s="143"/>
      <c r="Q325" s="144"/>
      <c r="R325" s="144"/>
      <c r="S325" s="144"/>
      <c r="T325" s="150"/>
      <c r="U325" s="145"/>
      <c r="V325" s="143"/>
      <c r="W325" s="143"/>
      <c r="X325" s="3"/>
      <c r="AB325" s="148"/>
      <c r="AC325" s="148"/>
    </row>
    <row r="326" spans="5:29" x14ac:dyDescent="0.25">
      <c r="E326" s="138"/>
      <c r="F326" s="173"/>
      <c r="G326" s="138"/>
      <c r="H326" s="115"/>
      <c r="I326" s="115"/>
      <c r="J326" s="115"/>
      <c r="K326" s="115"/>
      <c r="L326" s="115"/>
      <c r="M326" s="149"/>
      <c r="N326" s="149"/>
      <c r="O326" s="144"/>
      <c r="P326" s="143"/>
      <c r="Q326" s="144"/>
      <c r="R326" s="144"/>
      <c r="S326" s="144"/>
      <c r="T326" s="150"/>
      <c r="U326" s="145"/>
      <c r="V326" s="143"/>
      <c r="W326" s="143"/>
      <c r="X326" s="3"/>
      <c r="AB326" s="148"/>
      <c r="AC326" s="148"/>
    </row>
    <row r="327" spans="5:29" x14ac:dyDescent="0.25">
      <c r="E327" s="138"/>
      <c r="F327" s="173"/>
      <c r="G327" s="138"/>
      <c r="H327" s="115"/>
      <c r="I327" s="115"/>
      <c r="J327" s="115"/>
      <c r="K327" s="115"/>
      <c r="L327" s="115"/>
      <c r="M327" s="149"/>
      <c r="N327" s="149"/>
      <c r="O327" s="144"/>
      <c r="P327" s="143"/>
      <c r="Q327" s="144"/>
      <c r="R327" s="144"/>
      <c r="S327" s="144"/>
      <c r="T327" s="150"/>
      <c r="U327" s="145"/>
      <c r="V327" s="143"/>
      <c r="W327" s="143"/>
      <c r="X327" s="3"/>
      <c r="AB327" s="148"/>
      <c r="AC327" s="148"/>
    </row>
    <row r="328" spans="5:29" x14ac:dyDescent="0.25">
      <c r="E328" s="138"/>
      <c r="F328" s="173"/>
      <c r="G328" s="138"/>
      <c r="H328" s="115"/>
      <c r="I328" s="115"/>
      <c r="J328" s="115"/>
      <c r="K328" s="115"/>
      <c r="L328" s="115"/>
      <c r="M328" s="149"/>
      <c r="N328" s="149"/>
      <c r="O328" s="144"/>
      <c r="P328" s="143"/>
      <c r="Q328" s="144"/>
      <c r="R328" s="144"/>
      <c r="S328" s="144"/>
      <c r="T328" s="150"/>
      <c r="U328" s="145"/>
      <c r="V328" s="143"/>
      <c r="W328" s="143"/>
      <c r="X328" s="3"/>
      <c r="AB328" s="148"/>
      <c r="AC328" s="148"/>
    </row>
    <row r="329" spans="5:29" x14ac:dyDescent="0.25">
      <c r="E329" s="138"/>
      <c r="F329" s="173"/>
      <c r="G329" s="138"/>
      <c r="H329" s="115"/>
      <c r="I329" s="115"/>
      <c r="J329" s="115"/>
      <c r="K329" s="115"/>
      <c r="L329" s="115"/>
      <c r="M329" s="149"/>
      <c r="N329" s="149"/>
      <c r="O329" s="144"/>
      <c r="P329" s="143"/>
      <c r="Q329" s="144"/>
      <c r="R329" s="144"/>
      <c r="S329" s="144"/>
      <c r="T329" s="150"/>
      <c r="U329" s="145"/>
      <c r="V329" s="143"/>
      <c r="W329" s="143"/>
      <c r="X329" s="3"/>
      <c r="AB329" s="148"/>
      <c r="AC329" s="148"/>
    </row>
    <row r="330" spans="5:29" x14ac:dyDescent="0.25">
      <c r="E330" s="138"/>
      <c r="F330" s="173"/>
      <c r="G330" s="138"/>
      <c r="H330" s="115"/>
      <c r="I330" s="115"/>
      <c r="J330" s="115"/>
      <c r="K330" s="115"/>
      <c r="L330" s="115"/>
      <c r="M330" s="149"/>
      <c r="N330" s="149"/>
      <c r="O330" s="144"/>
      <c r="P330" s="143"/>
      <c r="Q330" s="144"/>
      <c r="R330" s="144"/>
      <c r="S330" s="144"/>
      <c r="T330" s="150"/>
      <c r="U330" s="145"/>
      <c r="V330" s="143"/>
      <c r="W330" s="143"/>
      <c r="X330" s="3"/>
      <c r="AB330" s="148"/>
      <c r="AC330" s="148"/>
    </row>
    <row r="331" spans="5:29" x14ac:dyDescent="0.25">
      <c r="E331" s="138"/>
      <c r="F331" s="173"/>
      <c r="G331" s="138"/>
      <c r="H331" s="115"/>
      <c r="I331" s="115"/>
      <c r="J331" s="115"/>
      <c r="K331" s="115"/>
      <c r="L331" s="115"/>
      <c r="M331" s="149"/>
      <c r="N331" s="149"/>
      <c r="O331" s="144"/>
      <c r="P331" s="143"/>
      <c r="Q331" s="144"/>
      <c r="R331" s="144"/>
      <c r="S331" s="144"/>
      <c r="T331" s="150"/>
      <c r="U331" s="145"/>
      <c r="V331" s="143"/>
      <c r="W331" s="143"/>
      <c r="X331" s="3"/>
      <c r="AB331" s="148"/>
      <c r="AC331" s="148"/>
    </row>
    <row r="332" spans="5:29" x14ac:dyDescent="0.25">
      <c r="E332" s="138"/>
      <c r="F332" s="173"/>
      <c r="G332" s="138"/>
      <c r="H332" s="115"/>
      <c r="I332" s="115"/>
      <c r="J332" s="115"/>
      <c r="K332" s="115"/>
      <c r="L332" s="115"/>
      <c r="M332" s="149"/>
      <c r="N332" s="149"/>
      <c r="O332" s="144"/>
      <c r="P332" s="143"/>
      <c r="Q332" s="144"/>
      <c r="R332" s="144"/>
      <c r="S332" s="144"/>
      <c r="T332" s="150"/>
      <c r="U332" s="145"/>
      <c r="V332" s="143"/>
      <c r="W332" s="143"/>
      <c r="X332" s="3"/>
      <c r="AB332" s="148"/>
      <c r="AC332" s="148"/>
    </row>
    <row r="333" spans="5:29" x14ac:dyDescent="0.25">
      <c r="E333" s="138"/>
      <c r="F333" s="173"/>
      <c r="G333" s="138"/>
      <c r="H333" s="115"/>
      <c r="I333" s="115"/>
      <c r="J333" s="115"/>
      <c r="K333" s="115"/>
      <c r="L333" s="115"/>
      <c r="M333" s="149"/>
      <c r="N333" s="149"/>
      <c r="O333" s="144"/>
      <c r="P333" s="143"/>
      <c r="Q333" s="144"/>
      <c r="R333" s="144"/>
      <c r="S333" s="144"/>
      <c r="T333" s="150"/>
      <c r="U333" s="145"/>
      <c r="V333" s="143"/>
      <c r="W333" s="143"/>
      <c r="X333" s="3"/>
      <c r="AB333" s="148"/>
      <c r="AC333" s="148"/>
    </row>
    <row r="334" spans="5:29" x14ac:dyDescent="0.25">
      <c r="E334" s="138"/>
      <c r="F334" s="173"/>
      <c r="G334" s="138"/>
      <c r="H334" s="115"/>
      <c r="I334" s="115"/>
      <c r="J334" s="115"/>
      <c r="K334" s="115"/>
      <c r="L334" s="115"/>
      <c r="M334" s="149"/>
      <c r="N334" s="149"/>
      <c r="O334" s="144"/>
      <c r="P334" s="143"/>
      <c r="Q334" s="144"/>
      <c r="R334" s="144"/>
      <c r="S334" s="144"/>
      <c r="T334" s="150"/>
      <c r="U334" s="145"/>
      <c r="V334" s="143"/>
      <c r="W334" s="143"/>
      <c r="X334" s="3"/>
      <c r="AB334" s="148"/>
      <c r="AC334" s="148"/>
    </row>
    <row r="335" spans="5:29" x14ac:dyDescent="0.25">
      <c r="E335" s="138"/>
      <c r="F335" s="173"/>
      <c r="G335" s="138"/>
      <c r="H335" s="115"/>
      <c r="I335" s="115"/>
      <c r="J335" s="115"/>
      <c r="K335" s="115"/>
      <c r="L335" s="115"/>
      <c r="M335" s="149"/>
      <c r="N335" s="149"/>
      <c r="O335" s="144"/>
      <c r="P335" s="143"/>
      <c r="Q335" s="144"/>
      <c r="R335" s="144"/>
      <c r="S335" s="144"/>
      <c r="T335" s="150"/>
      <c r="U335" s="145"/>
      <c r="V335" s="143"/>
      <c r="W335" s="143"/>
      <c r="X335" s="3"/>
      <c r="AB335" s="148"/>
      <c r="AC335" s="148"/>
    </row>
    <row r="336" spans="5:29" x14ac:dyDescent="0.25">
      <c r="E336" s="138"/>
      <c r="F336" s="173"/>
      <c r="G336" s="138"/>
      <c r="H336" s="115"/>
      <c r="I336" s="115"/>
      <c r="J336" s="115"/>
      <c r="K336" s="115"/>
      <c r="L336" s="115"/>
      <c r="M336" s="149"/>
      <c r="N336" s="149"/>
      <c r="O336" s="144"/>
      <c r="P336" s="143"/>
      <c r="Q336" s="144"/>
      <c r="R336" s="144"/>
      <c r="S336" s="144"/>
      <c r="T336" s="150"/>
      <c r="U336" s="145"/>
      <c r="V336" s="143"/>
      <c r="W336" s="143"/>
      <c r="X336" s="3"/>
      <c r="AB336" s="148"/>
      <c r="AC336" s="148"/>
    </row>
    <row r="337" spans="5:29" x14ac:dyDescent="0.25">
      <c r="E337" s="138"/>
      <c r="F337" s="173"/>
      <c r="G337" s="138"/>
      <c r="H337" s="115"/>
      <c r="I337" s="115"/>
      <c r="J337" s="115"/>
      <c r="K337" s="115"/>
      <c r="L337" s="115"/>
      <c r="M337" s="149"/>
      <c r="N337" s="149"/>
      <c r="O337" s="144"/>
      <c r="P337" s="143"/>
      <c r="Q337" s="144"/>
      <c r="R337" s="144"/>
      <c r="S337" s="144"/>
      <c r="T337" s="150"/>
      <c r="U337" s="145"/>
      <c r="V337" s="143"/>
      <c r="W337" s="143"/>
      <c r="X337" s="3"/>
      <c r="AB337" s="148"/>
      <c r="AC337" s="148"/>
    </row>
    <row r="338" spans="5:29" x14ac:dyDescent="0.25">
      <c r="E338" s="138"/>
      <c r="F338" s="173"/>
      <c r="G338" s="138"/>
      <c r="H338" s="115"/>
      <c r="I338" s="115"/>
      <c r="J338" s="115"/>
      <c r="K338" s="115"/>
      <c r="L338" s="115"/>
      <c r="M338" s="149"/>
      <c r="N338" s="149"/>
      <c r="O338" s="144"/>
      <c r="P338" s="143"/>
      <c r="Q338" s="144"/>
      <c r="R338" s="144"/>
      <c r="S338" s="144"/>
      <c r="T338" s="150"/>
      <c r="U338" s="145"/>
      <c r="V338" s="143"/>
      <c r="W338" s="143"/>
      <c r="X338" s="3"/>
      <c r="AB338" s="148"/>
      <c r="AC338" s="148"/>
    </row>
    <row r="339" spans="5:29" x14ac:dyDescent="0.25">
      <c r="E339" s="138"/>
      <c r="F339" s="173"/>
      <c r="G339" s="138"/>
      <c r="H339" s="115"/>
      <c r="I339" s="115"/>
      <c r="J339" s="115"/>
      <c r="K339" s="115"/>
      <c r="L339" s="115"/>
      <c r="M339" s="149"/>
      <c r="N339" s="149"/>
      <c r="O339" s="144"/>
      <c r="P339" s="143"/>
      <c r="Q339" s="144"/>
      <c r="R339" s="144"/>
      <c r="S339" s="144"/>
      <c r="T339" s="150"/>
      <c r="U339" s="145"/>
      <c r="V339" s="143"/>
      <c r="W339" s="143"/>
      <c r="X339" s="3"/>
      <c r="AB339" s="148"/>
      <c r="AC339" s="148"/>
    </row>
    <row r="340" spans="5:29" x14ac:dyDescent="0.25">
      <c r="E340" s="138"/>
      <c r="F340" s="173"/>
      <c r="G340" s="138"/>
      <c r="H340" s="115"/>
      <c r="I340" s="115"/>
      <c r="J340" s="115"/>
      <c r="K340" s="115"/>
      <c r="L340" s="115"/>
      <c r="M340" s="149"/>
      <c r="N340" s="149"/>
      <c r="O340" s="144"/>
      <c r="P340" s="143"/>
      <c r="Q340" s="144"/>
      <c r="R340" s="144"/>
      <c r="S340" s="144"/>
      <c r="T340" s="150"/>
      <c r="U340" s="145"/>
      <c r="V340" s="143"/>
      <c r="W340" s="143"/>
      <c r="X340" s="3"/>
      <c r="AB340" s="148"/>
      <c r="AC340" s="148"/>
    </row>
    <row r="341" spans="5:29" x14ac:dyDescent="0.25">
      <c r="E341" s="138"/>
      <c r="F341" s="173"/>
      <c r="G341" s="138"/>
      <c r="H341" s="115"/>
      <c r="I341" s="115"/>
      <c r="J341" s="115"/>
      <c r="K341" s="115"/>
      <c r="L341" s="115"/>
      <c r="M341" s="149"/>
      <c r="N341" s="149"/>
      <c r="O341" s="144"/>
      <c r="P341" s="143"/>
      <c r="Q341" s="144"/>
      <c r="R341" s="144"/>
      <c r="S341" s="144"/>
      <c r="T341" s="150"/>
      <c r="U341" s="145"/>
      <c r="V341" s="143"/>
      <c r="W341" s="143"/>
      <c r="X341" s="3"/>
      <c r="AB341" s="148"/>
      <c r="AC341" s="148"/>
    </row>
    <row r="342" spans="5:29" x14ac:dyDescent="0.25">
      <c r="E342" s="138"/>
      <c r="F342" s="173"/>
      <c r="G342" s="138"/>
      <c r="H342" s="115"/>
      <c r="I342" s="115"/>
      <c r="J342" s="115"/>
      <c r="K342" s="115"/>
      <c r="L342" s="115"/>
      <c r="M342" s="149"/>
      <c r="N342" s="149"/>
      <c r="O342" s="144"/>
      <c r="P342" s="143"/>
      <c r="Q342" s="144"/>
      <c r="R342" s="144"/>
      <c r="S342" s="144"/>
      <c r="T342" s="150"/>
      <c r="U342" s="145"/>
      <c r="V342" s="143"/>
      <c r="W342" s="143"/>
      <c r="X342" s="3"/>
      <c r="AB342" s="148"/>
      <c r="AC342" s="148"/>
    </row>
    <row r="343" spans="5:29" x14ac:dyDescent="0.25">
      <c r="E343" s="138"/>
      <c r="F343" s="173"/>
      <c r="G343" s="138"/>
      <c r="H343" s="115"/>
      <c r="I343" s="115"/>
      <c r="J343" s="115"/>
      <c r="K343" s="115"/>
      <c r="L343" s="115"/>
      <c r="M343" s="149"/>
      <c r="N343" s="149"/>
      <c r="O343" s="144"/>
      <c r="P343" s="143"/>
      <c r="Q343" s="144"/>
      <c r="R343" s="144"/>
      <c r="S343" s="144"/>
      <c r="T343" s="150"/>
      <c r="U343" s="145"/>
      <c r="V343" s="143"/>
      <c r="W343" s="143"/>
      <c r="X343" s="3"/>
      <c r="AB343" s="148"/>
      <c r="AC343" s="148"/>
    </row>
    <row r="344" spans="5:29" x14ac:dyDescent="0.25">
      <c r="E344" s="138"/>
      <c r="F344" s="173"/>
      <c r="G344" s="138"/>
      <c r="H344" s="115"/>
      <c r="I344" s="115"/>
      <c r="J344" s="115"/>
      <c r="K344" s="115"/>
      <c r="L344" s="115"/>
      <c r="M344" s="149"/>
      <c r="N344" s="149"/>
      <c r="O344" s="144"/>
      <c r="P344" s="143"/>
      <c r="Q344" s="144"/>
      <c r="R344" s="144"/>
      <c r="S344" s="144"/>
      <c r="T344" s="150"/>
      <c r="U344" s="145"/>
      <c r="V344" s="143"/>
      <c r="W344" s="143"/>
      <c r="X344" s="3"/>
      <c r="AB344" s="148"/>
      <c r="AC344" s="148"/>
    </row>
    <row r="345" spans="5:29" x14ac:dyDescent="0.25">
      <c r="E345" s="138"/>
      <c r="F345" s="173"/>
      <c r="G345" s="138"/>
      <c r="H345" s="115"/>
      <c r="I345" s="115"/>
      <c r="J345" s="115"/>
      <c r="K345" s="115"/>
      <c r="L345" s="115"/>
      <c r="M345" s="149"/>
      <c r="N345" s="149"/>
      <c r="O345" s="144"/>
      <c r="P345" s="143"/>
      <c r="Q345" s="144"/>
      <c r="R345" s="144"/>
      <c r="S345" s="144"/>
      <c r="T345" s="150"/>
      <c r="U345" s="145"/>
      <c r="V345" s="143"/>
      <c r="W345" s="143"/>
      <c r="X345" s="3"/>
      <c r="AB345" s="148"/>
      <c r="AC345" s="148"/>
    </row>
    <row r="346" spans="5:29" x14ac:dyDescent="0.25">
      <c r="E346" s="138"/>
      <c r="F346" s="173"/>
      <c r="G346" s="138"/>
      <c r="H346" s="115"/>
      <c r="I346" s="115"/>
      <c r="J346" s="115"/>
      <c r="K346" s="115"/>
      <c r="L346" s="115"/>
      <c r="M346" s="149"/>
      <c r="N346" s="149"/>
      <c r="O346" s="144"/>
      <c r="P346" s="143"/>
      <c r="Q346" s="144"/>
      <c r="R346" s="144"/>
      <c r="S346" s="144"/>
      <c r="T346" s="150"/>
      <c r="U346" s="145"/>
      <c r="V346" s="143"/>
      <c r="W346" s="143"/>
      <c r="X346" s="3"/>
      <c r="AB346" s="148"/>
      <c r="AC346" s="148"/>
    </row>
    <row r="347" spans="5:29" x14ac:dyDescent="0.25">
      <c r="E347" s="138"/>
      <c r="F347" s="173"/>
      <c r="G347" s="138"/>
      <c r="H347" s="115"/>
      <c r="I347" s="115"/>
      <c r="J347" s="115"/>
      <c r="K347" s="115"/>
      <c r="L347" s="115"/>
      <c r="M347" s="149"/>
      <c r="N347" s="149"/>
      <c r="O347" s="144"/>
      <c r="P347" s="143"/>
      <c r="Q347" s="144"/>
      <c r="R347" s="144"/>
      <c r="S347" s="144"/>
      <c r="T347" s="150"/>
      <c r="U347" s="145"/>
      <c r="V347" s="143"/>
      <c r="W347" s="143"/>
      <c r="X347" s="3"/>
      <c r="AB347" s="148"/>
      <c r="AC347" s="148"/>
    </row>
    <row r="348" spans="5:29" x14ac:dyDescent="0.25">
      <c r="E348" s="138"/>
      <c r="F348" s="173"/>
      <c r="G348" s="138"/>
      <c r="H348" s="115"/>
      <c r="I348" s="115"/>
      <c r="J348" s="115"/>
      <c r="K348" s="115"/>
      <c r="L348" s="115"/>
      <c r="M348" s="149"/>
      <c r="N348" s="149"/>
      <c r="O348" s="144"/>
      <c r="P348" s="143"/>
      <c r="Q348" s="144"/>
      <c r="R348" s="144"/>
      <c r="S348" s="144"/>
      <c r="T348" s="150"/>
      <c r="U348" s="145"/>
      <c r="V348" s="143"/>
      <c r="W348" s="143"/>
      <c r="X348" s="3"/>
      <c r="AB348" s="148"/>
      <c r="AC348" s="148"/>
    </row>
    <row r="349" spans="5:29" x14ac:dyDescent="0.25">
      <c r="E349" s="138"/>
      <c r="F349" s="173"/>
      <c r="G349" s="138"/>
      <c r="H349" s="115"/>
      <c r="I349" s="115"/>
      <c r="J349" s="115"/>
      <c r="K349" s="115"/>
      <c r="L349" s="115"/>
      <c r="M349" s="149"/>
      <c r="N349" s="149"/>
      <c r="O349" s="144"/>
      <c r="P349" s="143"/>
      <c r="Q349" s="144"/>
      <c r="R349" s="144"/>
      <c r="S349" s="144"/>
      <c r="T349" s="150"/>
      <c r="U349" s="145"/>
      <c r="V349" s="143"/>
      <c r="W349" s="143"/>
      <c r="X349" s="3"/>
      <c r="AB349" s="148"/>
      <c r="AC349" s="148"/>
    </row>
    <row r="350" spans="5:29" x14ac:dyDescent="0.25">
      <c r="E350" s="138"/>
      <c r="F350" s="173"/>
      <c r="G350" s="138"/>
      <c r="H350" s="115"/>
      <c r="I350" s="115"/>
      <c r="J350" s="115"/>
      <c r="K350" s="115"/>
      <c r="L350" s="115"/>
      <c r="M350" s="149"/>
      <c r="N350" s="149"/>
      <c r="O350" s="144"/>
      <c r="P350" s="143"/>
      <c r="Q350" s="144"/>
      <c r="R350" s="144"/>
      <c r="S350" s="144"/>
      <c r="T350" s="150"/>
      <c r="U350" s="145"/>
      <c r="V350" s="143"/>
      <c r="W350" s="143"/>
      <c r="X350" s="3"/>
      <c r="AB350" s="148"/>
      <c r="AC350" s="148"/>
    </row>
    <row r="351" spans="5:29" x14ac:dyDescent="0.25">
      <c r="E351" s="138"/>
      <c r="F351" s="173"/>
      <c r="G351" s="138"/>
      <c r="H351" s="115"/>
      <c r="I351" s="115"/>
      <c r="J351" s="115"/>
      <c r="K351" s="115"/>
      <c r="L351" s="115"/>
      <c r="M351" s="149"/>
      <c r="N351" s="149"/>
      <c r="O351" s="144"/>
      <c r="P351" s="143"/>
      <c r="Q351" s="144"/>
      <c r="R351" s="144"/>
      <c r="S351" s="144"/>
      <c r="T351" s="150"/>
      <c r="U351" s="145"/>
      <c r="V351" s="143"/>
      <c r="W351" s="143"/>
      <c r="X351" s="3"/>
      <c r="AB351" s="148"/>
      <c r="AC351" s="148"/>
    </row>
    <row r="352" spans="5:29" x14ac:dyDescent="0.25">
      <c r="E352" s="138"/>
      <c r="F352" s="173"/>
      <c r="G352" s="138"/>
      <c r="H352" s="115"/>
      <c r="I352" s="115"/>
      <c r="J352" s="115"/>
      <c r="K352" s="115"/>
      <c r="L352" s="115"/>
      <c r="M352" s="149"/>
      <c r="N352" s="149"/>
      <c r="O352" s="144"/>
      <c r="P352" s="143"/>
      <c r="Q352" s="144"/>
      <c r="R352" s="144"/>
      <c r="S352" s="144"/>
      <c r="T352" s="150"/>
      <c r="U352" s="145"/>
      <c r="V352" s="143"/>
      <c r="W352" s="143"/>
      <c r="X352" s="3"/>
      <c r="AB352" s="148"/>
      <c r="AC352" s="148"/>
    </row>
    <row r="353" spans="5:29" x14ac:dyDescent="0.25">
      <c r="E353" s="138"/>
      <c r="F353" s="173"/>
      <c r="G353" s="138"/>
      <c r="H353" s="115"/>
      <c r="I353" s="115"/>
      <c r="J353" s="115"/>
      <c r="K353" s="115"/>
      <c r="L353" s="115"/>
      <c r="M353" s="149"/>
      <c r="N353" s="149"/>
      <c r="O353" s="144"/>
      <c r="P353" s="143"/>
      <c r="Q353" s="144"/>
      <c r="R353" s="144"/>
      <c r="S353" s="144"/>
      <c r="T353" s="150"/>
      <c r="U353" s="145"/>
      <c r="V353" s="143"/>
      <c r="W353" s="143"/>
      <c r="X353" s="3"/>
      <c r="AB353" s="148"/>
      <c r="AC353" s="148"/>
    </row>
    <row r="354" spans="5:29" x14ac:dyDescent="0.25">
      <c r="E354" s="138"/>
      <c r="F354" s="173"/>
      <c r="G354" s="138"/>
      <c r="H354" s="115"/>
      <c r="I354" s="115"/>
      <c r="J354" s="115"/>
      <c r="K354" s="115"/>
      <c r="L354" s="115"/>
      <c r="M354" s="149"/>
      <c r="N354" s="149"/>
      <c r="O354" s="144"/>
      <c r="P354" s="143"/>
      <c r="Q354" s="144"/>
      <c r="R354" s="144"/>
      <c r="S354" s="144"/>
      <c r="T354" s="150"/>
      <c r="U354" s="145"/>
      <c r="V354" s="143"/>
      <c r="W354" s="143"/>
      <c r="X354" s="3"/>
      <c r="AB354" s="148"/>
      <c r="AC354" s="148"/>
    </row>
    <row r="355" spans="5:29" x14ac:dyDescent="0.25">
      <c r="E355" s="138"/>
      <c r="F355" s="173"/>
      <c r="G355" s="138"/>
      <c r="H355" s="115"/>
      <c r="I355" s="115"/>
      <c r="J355" s="115"/>
      <c r="K355" s="115"/>
      <c r="L355" s="115"/>
      <c r="M355" s="149"/>
      <c r="N355" s="149"/>
      <c r="O355" s="144"/>
      <c r="P355" s="143"/>
      <c r="Q355" s="144"/>
      <c r="R355" s="144"/>
      <c r="S355" s="144"/>
      <c r="T355" s="150"/>
      <c r="U355" s="145"/>
      <c r="V355" s="143"/>
      <c r="W355" s="143"/>
      <c r="X355" s="3"/>
      <c r="AB355" s="148"/>
      <c r="AC355" s="148"/>
    </row>
    <row r="356" spans="5:29" x14ac:dyDescent="0.25">
      <c r="E356" s="138"/>
      <c r="F356" s="173"/>
      <c r="G356" s="138"/>
      <c r="H356" s="115"/>
      <c r="I356" s="115"/>
      <c r="J356" s="115"/>
      <c r="K356" s="115"/>
      <c r="L356" s="115"/>
      <c r="M356" s="149"/>
      <c r="N356" s="149"/>
      <c r="O356" s="144"/>
      <c r="P356" s="143"/>
      <c r="Q356" s="144"/>
      <c r="R356" s="144"/>
      <c r="S356" s="144"/>
      <c r="T356" s="150"/>
      <c r="U356" s="145"/>
      <c r="V356" s="143"/>
      <c r="W356" s="143"/>
      <c r="X356" s="3"/>
      <c r="AB356" s="148"/>
      <c r="AC356" s="148"/>
    </row>
    <row r="357" spans="5:29" x14ac:dyDescent="0.25">
      <c r="E357" s="138"/>
      <c r="F357" s="173"/>
      <c r="G357" s="138"/>
      <c r="H357" s="115"/>
      <c r="I357" s="115"/>
      <c r="J357" s="115"/>
      <c r="K357" s="115"/>
      <c r="L357" s="115"/>
      <c r="M357" s="149"/>
      <c r="N357" s="149"/>
      <c r="O357" s="144"/>
      <c r="P357" s="143"/>
      <c r="Q357" s="144"/>
      <c r="R357" s="144"/>
      <c r="S357" s="144"/>
      <c r="T357" s="150"/>
      <c r="U357" s="145"/>
      <c r="V357" s="143"/>
      <c r="W357" s="143"/>
      <c r="X357" s="3"/>
      <c r="AB357" s="148"/>
      <c r="AC357" s="148"/>
    </row>
    <row r="358" spans="5:29" x14ac:dyDescent="0.25">
      <c r="E358" s="138"/>
      <c r="F358" s="173"/>
      <c r="G358" s="138"/>
      <c r="H358" s="115"/>
      <c r="I358" s="115"/>
      <c r="J358" s="115"/>
      <c r="K358" s="115"/>
      <c r="L358" s="115"/>
      <c r="M358" s="149"/>
      <c r="N358" s="149"/>
      <c r="O358" s="144"/>
      <c r="P358" s="143"/>
      <c r="Q358" s="144"/>
      <c r="R358" s="144"/>
      <c r="S358" s="144"/>
      <c r="T358" s="150"/>
      <c r="U358" s="145"/>
      <c r="V358" s="143"/>
      <c r="W358" s="143"/>
      <c r="X358" s="3"/>
      <c r="AB358" s="148"/>
      <c r="AC358" s="148"/>
    </row>
    <row r="359" spans="5:29" x14ac:dyDescent="0.25">
      <c r="E359" s="138"/>
      <c r="F359" s="173"/>
      <c r="G359" s="138"/>
      <c r="H359" s="115"/>
      <c r="I359" s="115"/>
      <c r="J359" s="115"/>
      <c r="K359" s="115"/>
      <c r="L359" s="115"/>
      <c r="M359" s="149"/>
      <c r="N359" s="149"/>
      <c r="O359" s="144"/>
      <c r="P359" s="143"/>
      <c r="Q359" s="144"/>
      <c r="R359" s="144"/>
      <c r="S359" s="144"/>
      <c r="T359" s="150"/>
      <c r="U359" s="145"/>
      <c r="V359" s="143"/>
      <c r="W359" s="143"/>
      <c r="X359" s="3"/>
      <c r="AB359" s="148"/>
      <c r="AC359" s="148"/>
    </row>
    <row r="360" spans="5:29" x14ac:dyDescent="0.25">
      <c r="E360" s="138"/>
      <c r="F360" s="173"/>
      <c r="G360" s="138"/>
      <c r="H360" s="115"/>
      <c r="I360" s="115"/>
      <c r="J360" s="115"/>
      <c r="K360" s="115"/>
      <c r="L360" s="115"/>
      <c r="M360" s="149"/>
      <c r="N360" s="149"/>
      <c r="O360" s="144"/>
      <c r="P360" s="143"/>
      <c r="Q360" s="144"/>
      <c r="R360" s="144"/>
      <c r="S360" s="144"/>
      <c r="T360" s="150"/>
      <c r="U360" s="145"/>
      <c r="V360" s="143"/>
      <c r="W360" s="143"/>
      <c r="X360" s="3"/>
      <c r="AB360" s="148"/>
      <c r="AC360" s="148"/>
    </row>
    <row r="361" spans="5:29" x14ac:dyDescent="0.25">
      <c r="E361" s="138"/>
      <c r="F361" s="173"/>
      <c r="G361" s="138"/>
      <c r="H361" s="115"/>
      <c r="I361" s="115"/>
      <c r="J361" s="115"/>
      <c r="K361" s="115"/>
      <c r="L361" s="115"/>
      <c r="M361" s="149"/>
      <c r="N361" s="149"/>
      <c r="O361" s="144"/>
      <c r="P361" s="143"/>
      <c r="Q361" s="144"/>
      <c r="R361" s="144"/>
      <c r="S361" s="144"/>
      <c r="T361" s="150"/>
      <c r="U361" s="145"/>
      <c r="V361" s="143"/>
      <c r="W361" s="143"/>
      <c r="X361" s="3"/>
      <c r="AB361" s="148"/>
      <c r="AC361" s="148"/>
    </row>
    <row r="362" spans="5:29" x14ac:dyDescent="0.25">
      <c r="E362" s="138"/>
      <c r="F362" s="173"/>
      <c r="G362" s="138"/>
      <c r="H362" s="115"/>
      <c r="I362" s="115"/>
      <c r="J362" s="115"/>
      <c r="K362" s="115"/>
      <c r="L362" s="115"/>
      <c r="M362" s="149"/>
      <c r="N362" s="149"/>
      <c r="O362" s="144"/>
      <c r="P362" s="143"/>
      <c r="Q362" s="144"/>
      <c r="R362" s="144"/>
      <c r="S362" s="144"/>
      <c r="T362" s="150"/>
      <c r="U362" s="145"/>
      <c r="V362" s="143"/>
      <c r="W362" s="143"/>
      <c r="X362" s="3"/>
      <c r="AB362" s="148"/>
      <c r="AC362" s="148"/>
    </row>
    <row r="363" spans="5:29" x14ac:dyDescent="0.25">
      <c r="E363" s="138"/>
      <c r="F363" s="173"/>
      <c r="G363" s="138"/>
      <c r="H363" s="115"/>
      <c r="I363" s="115"/>
      <c r="J363" s="115"/>
      <c r="K363" s="115"/>
      <c r="L363" s="115"/>
      <c r="M363" s="149"/>
      <c r="N363" s="149"/>
      <c r="O363" s="144"/>
      <c r="P363" s="143"/>
      <c r="Q363" s="144"/>
      <c r="R363" s="144"/>
      <c r="S363" s="144"/>
      <c r="T363" s="150"/>
      <c r="U363" s="145"/>
      <c r="V363" s="143"/>
      <c r="W363" s="143"/>
      <c r="X363" s="3"/>
      <c r="AB363" s="148"/>
      <c r="AC363" s="148"/>
    </row>
    <row r="364" spans="5:29" x14ac:dyDescent="0.25">
      <c r="E364" s="138"/>
      <c r="F364" s="173"/>
      <c r="G364" s="138"/>
      <c r="H364" s="115"/>
      <c r="I364" s="115"/>
      <c r="J364" s="115"/>
      <c r="K364" s="115"/>
      <c r="L364" s="115"/>
      <c r="M364" s="149"/>
      <c r="N364" s="149"/>
      <c r="O364" s="144"/>
      <c r="P364" s="143"/>
      <c r="Q364" s="144"/>
      <c r="R364" s="144"/>
      <c r="S364" s="144"/>
      <c r="T364" s="150"/>
      <c r="U364" s="145"/>
      <c r="V364" s="143"/>
      <c r="W364" s="143"/>
      <c r="X364" s="3"/>
      <c r="AB364" s="148"/>
      <c r="AC364" s="148"/>
    </row>
    <row r="365" spans="5:29" x14ac:dyDescent="0.25">
      <c r="E365" s="138"/>
      <c r="F365" s="173"/>
      <c r="G365" s="138"/>
      <c r="H365" s="115"/>
      <c r="I365" s="115"/>
      <c r="J365" s="115"/>
      <c r="K365" s="115"/>
      <c r="L365" s="115"/>
      <c r="M365" s="149"/>
      <c r="N365" s="149"/>
      <c r="O365" s="144"/>
      <c r="P365" s="143"/>
      <c r="Q365" s="144"/>
      <c r="R365" s="144"/>
      <c r="S365" s="144"/>
      <c r="T365" s="150"/>
      <c r="U365" s="145"/>
      <c r="V365" s="143"/>
      <c r="W365" s="143"/>
      <c r="X365" s="3"/>
      <c r="AB365" s="148"/>
      <c r="AC365" s="148"/>
    </row>
    <row r="366" spans="5:29" x14ac:dyDescent="0.25">
      <c r="E366" s="138"/>
      <c r="F366" s="173"/>
      <c r="G366" s="138"/>
      <c r="H366" s="115"/>
      <c r="I366" s="115"/>
      <c r="J366" s="115"/>
      <c r="K366" s="115"/>
      <c r="L366" s="115"/>
      <c r="M366" s="149"/>
      <c r="N366" s="149"/>
      <c r="O366" s="144"/>
      <c r="P366" s="143"/>
      <c r="Q366" s="144"/>
      <c r="R366" s="144"/>
      <c r="S366" s="144"/>
      <c r="T366" s="150"/>
      <c r="U366" s="145"/>
      <c r="V366" s="143"/>
      <c r="W366" s="143"/>
      <c r="X366" s="3"/>
      <c r="AB366" s="148"/>
      <c r="AC366" s="148"/>
    </row>
    <row r="367" spans="5:29" x14ac:dyDescent="0.25">
      <c r="E367" s="138"/>
      <c r="F367" s="173"/>
      <c r="G367" s="138"/>
      <c r="H367" s="115"/>
      <c r="I367" s="115"/>
      <c r="J367" s="115"/>
      <c r="K367" s="115"/>
      <c r="L367" s="115"/>
      <c r="M367" s="149"/>
      <c r="N367" s="149"/>
      <c r="O367" s="144"/>
      <c r="P367" s="143"/>
      <c r="Q367" s="144"/>
      <c r="R367" s="144"/>
      <c r="S367" s="144"/>
      <c r="T367" s="150"/>
      <c r="U367" s="145"/>
      <c r="V367" s="143"/>
      <c r="W367" s="143"/>
      <c r="X367" s="3"/>
      <c r="AB367" s="148"/>
      <c r="AC367" s="148"/>
    </row>
    <row r="368" spans="5:29" x14ac:dyDescent="0.25">
      <c r="E368" s="138"/>
      <c r="F368" s="173"/>
      <c r="G368" s="138"/>
      <c r="H368" s="115"/>
      <c r="I368" s="115"/>
      <c r="J368" s="115"/>
      <c r="K368" s="115"/>
      <c r="L368" s="115"/>
      <c r="M368" s="149"/>
      <c r="N368" s="149"/>
      <c r="O368" s="144"/>
      <c r="P368" s="143"/>
      <c r="Q368" s="144"/>
      <c r="R368" s="144"/>
      <c r="S368" s="144"/>
      <c r="T368" s="150"/>
      <c r="U368" s="145"/>
      <c r="V368" s="143"/>
      <c r="W368" s="143"/>
      <c r="X368" s="3"/>
      <c r="AB368" s="148"/>
      <c r="AC368" s="148"/>
    </row>
    <row r="369" spans="5:29" x14ac:dyDescent="0.25">
      <c r="E369" s="138"/>
      <c r="F369" s="173"/>
      <c r="G369" s="138"/>
      <c r="H369" s="115"/>
      <c r="I369" s="115"/>
      <c r="J369" s="115"/>
      <c r="K369" s="115"/>
      <c r="L369" s="115"/>
      <c r="M369" s="149"/>
      <c r="N369" s="149"/>
      <c r="O369" s="144"/>
      <c r="P369" s="143"/>
      <c r="Q369" s="144"/>
      <c r="R369" s="144"/>
      <c r="S369" s="144"/>
      <c r="T369" s="150"/>
      <c r="U369" s="145"/>
      <c r="V369" s="143"/>
      <c r="W369" s="143"/>
      <c r="X369" s="3"/>
      <c r="AB369" s="148"/>
      <c r="AC369" s="148"/>
    </row>
    <row r="370" spans="5:29" x14ac:dyDescent="0.25">
      <c r="E370" s="138"/>
      <c r="F370" s="173"/>
      <c r="G370" s="138"/>
      <c r="H370" s="115"/>
      <c r="I370" s="115"/>
      <c r="J370" s="115"/>
      <c r="K370" s="115"/>
      <c r="L370" s="115"/>
      <c r="M370" s="149"/>
      <c r="N370" s="149"/>
      <c r="O370" s="144"/>
      <c r="P370" s="143"/>
      <c r="Q370" s="144"/>
      <c r="R370" s="144"/>
      <c r="S370" s="144"/>
      <c r="T370" s="150"/>
      <c r="U370" s="145"/>
      <c r="V370" s="143"/>
      <c r="W370" s="143"/>
      <c r="X370" s="3"/>
      <c r="AB370" s="148"/>
      <c r="AC370" s="148"/>
    </row>
    <row r="371" spans="5:29" x14ac:dyDescent="0.25">
      <c r="E371" s="138"/>
      <c r="F371" s="173"/>
      <c r="G371" s="138"/>
      <c r="H371" s="115"/>
      <c r="I371" s="115"/>
      <c r="J371" s="115"/>
      <c r="K371" s="115"/>
      <c r="L371" s="115"/>
      <c r="M371" s="149"/>
      <c r="N371" s="149"/>
      <c r="O371" s="144"/>
      <c r="P371" s="143"/>
      <c r="Q371" s="144"/>
      <c r="R371" s="144"/>
      <c r="S371" s="144"/>
      <c r="T371" s="150"/>
      <c r="U371" s="145"/>
      <c r="V371" s="143"/>
      <c r="W371" s="143"/>
      <c r="X371" s="3"/>
      <c r="AB371" s="148"/>
      <c r="AC371" s="148"/>
    </row>
    <row r="372" spans="5:29" x14ac:dyDescent="0.25">
      <c r="E372" s="138"/>
      <c r="F372" s="173"/>
      <c r="G372" s="138"/>
      <c r="H372" s="115"/>
      <c r="I372" s="115"/>
      <c r="J372" s="115"/>
      <c r="K372" s="115"/>
      <c r="L372" s="115"/>
      <c r="M372" s="149"/>
      <c r="N372" s="149"/>
      <c r="O372" s="144"/>
      <c r="P372" s="143"/>
      <c r="Q372" s="144"/>
      <c r="R372" s="144"/>
      <c r="S372" s="144"/>
      <c r="T372" s="150"/>
      <c r="U372" s="145"/>
      <c r="V372" s="143"/>
      <c r="W372" s="143"/>
      <c r="X372" s="3"/>
      <c r="AB372" s="148"/>
      <c r="AC372" s="148"/>
    </row>
    <row r="373" spans="5:29" x14ac:dyDescent="0.25">
      <c r="E373" s="138"/>
      <c r="F373" s="173"/>
      <c r="G373" s="138"/>
      <c r="H373" s="115"/>
      <c r="I373" s="115"/>
      <c r="J373" s="115"/>
      <c r="K373" s="115"/>
      <c r="L373" s="115"/>
      <c r="M373" s="149"/>
      <c r="N373" s="149"/>
      <c r="O373" s="144"/>
      <c r="P373" s="143"/>
      <c r="Q373" s="144"/>
      <c r="R373" s="144"/>
      <c r="S373" s="144"/>
      <c r="T373" s="150"/>
      <c r="U373" s="145"/>
      <c r="V373" s="143"/>
      <c r="W373" s="143"/>
      <c r="X373" s="3"/>
      <c r="AB373" s="148"/>
      <c r="AC373" s="148"/>
    </row>
    <row r="374" spans="5:29" x14ac:dyDescent="0.25">
      <c r="E374" s="138"/>
      <c r="F374" s="173"/>
      <c r="G374" s="138"/>
      <c r="H374" s="115"/>
      <c r="I374" s="115"/>
      <c r="J374" s="115"/>
      <c r="K374" s="115"/>
      <c r="L374" s="115"/>
      <c r="M374" s="149"/>
      <c r="N374" s="149"/>
      <c r="O374" s="144"/>
      <c r="P374" s="143"/>
      <c r="Q374" s="144"/>
      <c r="R374" s="144"/>
      <c r="S374" s="144"/>
      <c r="T374" s="150"/>
      <c r="U374" s="145"/>
      <c r="V374" s="143"/>
      <c r="W374" s="143"/>
      <c r="X374" s="3"/>
      <c r="AB374" s="148"/>
      <c r="AC374" s="148"/>
    </row>
    <row r="375" spans="5:29" x14ac:dyDescent="0.25">
      <c r="E375" s="138"/>
      <c r="F375" s="173"/>
      <c r="G375" s="138"/>
      <c r="H375" s="115"/>
      <c r="I375" s="115"/>
      <c r="J375" s="115"/>
      <c r="K375" s="115"/>
      <c r="L375" s="115"/>
      <c r="M375" s="149"/>
      <c r="N375" s="149"/>
      <c r="O375" s="144"/>
      <c r="P375" s="143"/>
      <c r="Q375" s="144"/>
      <c r="R375" s="144"/>
      <c r="S375" s="144"/>
      <c r="T375" s="150"/>
      <c r="U375" s="145"/>
      <c r="V375" s="143"/>
      <c r="W375" s="143"/>
      <c r="X375" s="3"/>
      <c r="AB375" s="148"/>
      <c r="AC375" s="148"/>
    </row>
    <row r="376" spans="5:29" x14ac:dyDescent="0.25">
      <c r="E376" s="138"/>
      <c r="F376" s="173"/>
      <c r="G376" s="138"/>
      <c r="H376" s="115"/>
      <c r="I376" s="115"/>
      <c r="J376" s="115"/>
      <c r="K376" s="115"/>
      <c r="L376" s="115"/>
      <c r="M376" s="149"/>
      <c r="N376" s="149"/>
      <c r="O376" s="144"/>
      <c r="P376" s="143"/>
      <c r="Q376" s="144"/>
      <c r="R376" s="144"/>
      <c r="S376" s="144"/>
      <c r="T376" s="150"/>
      <c r="U376" s="145"/>
      <c r="V376" s="143"/>
      <c r="W376" s="143"/>
      <c r="X376" s="3"/>
      <c r="AB376" s="148"/>
      <c r="AC376" s="148"/>
    </row>
    <row r="377" spans="5:29" x14ac:dyDescent="0.25">
      <c r="E377" s="138"/>
      <c r="F377" s="173"/>
      <c r="G377" s="138"/>
      <c r="H377" s="115"/>
      <c r="I377" s="115"/>
      <c r="J377" s="115"/>
      <c r="K377" s="115"/>
      <c r="L377" s="115"/>
      <c r="M377" s="149"/>
      <c r="N377" s="149"/>
      <c r="O377" s="144"/>
      <c r="P377" s="143"/>
      <c r="Q377" s="144"/>
      <c r="R377" s="144"/>
      <c r="S377" s="144"/>
      <c r="T377" s="150"/>
      <c r="U377" s="145"/>
      <c r="V377" s="143"/>
      <c r="W377" s="143"/>
      <c r="X377" s="3"/>
      <c r="AB377" s="148"/>
      <c r="AC377" s="148"/>
    </row>
    <row r="378" spans="5:29" x14ac:dyDescent="0.25">
      <c r="E378" s="138"/>
      <c r="F378" s="173"/>
      <c r="G378" s="138"/>
      <c r="H378" s="115"/>
      <c r="I378" s="115"/>
      <c r="J378" s="115"/>
      <c r="K378" s="115"/>
      <c r="L378" s="115"/>
      <c r="M378" s="149"/>
      <c r="N378" s="149"/>
      <c r="O378" s="144"/>
      <c r="P378" s="143"/>
      <c r="Q378" s="144"/>
      <c r="R378" s="144"/>
      <c r="S378" s="144"/>
      <c r="T378" s="150"/>
      <c r="U378" s="145"/>
      <c r="V378" s="143"/>
      <c r="W378" s="143"/>
      <c r="X378" s="3"/>
      <c r="AB378" s="148"/>
      <c r="AC378" s="148"/>
    </row>
    <row r="379" spans="5:29" x14ac:dyDescent="0.25">
      <c r="E379" s="138"/>
      <c r="F379" s="173"/>
      <c r="G379" s="138"/>
      <c r="H379" s="115"/>
      <c r="I379" s="115"/>
      <c r="J379" s="115"/>
      <c r="K379" s="115"/>
      <c r="L379" s="115"/>
      <c r="M379" s="149"/>
      <c r="N379" s="149"/>
      <c r="O379" s="144"/>
      <c r="P379" s="143"/>
      <c r="Q379" s="144"/>
      <c r="R379" s="144"/>
      <c r="S379" s="144"/>
      <c r="T379" s="150"/>
      <c r="U379" s="145"/>
      <c r="V379" s="143"/>
      <c r="W379" s="143"/>
      <c r="X379" s="3"/>
      <c r="AB379" s="148"/>
      <c r="AC379" s="148"/>
    </row>
    <row r="380" spans="5:29" x14ac:dyDescent="0.25">
      <c r="E380" s="138"/>
      <c r="F380" s="173"/>
      <c r="G380" s="138"/>
      <c r="H380" s="115"/>
      <c r="I380" s="115"/>
      <c r="J380" s="115"/>
      <c r="K380" s="115"/>
      <c r="L380" s="115"/>
      <c r="M380" s="149"/>
      <c r="N380" s="149"/>
      <c r="O380" s="144"/>
      <c r="P380" s="143"/>
      <c r="Q380" s="144"/>
      <c r="R380" s="144"/>
      <c r="S380" s="144"/>
      <c r="T380" s="150"/>
      <c r="U380" s="145"/>
      <c r="V380" s="143"/>
      <c r="W380" s="143"/>
      <c r="X380" s="3"/>
      <c r="AB380" s="148"/>
      <c r="AC380" s="148"/>
    </row>
    <row r="381" spans="5:29" x14ac:dyDescent="0.25">
      <c r="E381" s="138"/>
      <c r="F381" s="173"/>
      <c r="G381" s="138"/>
      <c r="H381" s="115"/>
      <c r="I381" s="115"/>
      <c r="J381" s="115"/>
      <c r="K381" s="115"/>
      <c r="L381" s="115"/>
      <c r="M381" s="149"/>
      <c r="N381" s="149"/>
      <c r="O381" s="144"/>
      <c r="P381" s="143"/>
      <c r="Q381" s="144"/>
      <c r="R381" s="144"/>
      <c r="S381" s="144"/>
      <c r="T381" s="150"/>
      <c r="U381" s="145"/>
      <c r="V381" s="143"/>
      <c r="W381" s="143"/>
      <c r="X381" s="3"/>
      <c r="AB381" s="148"/>
      <c r="AC381" s="148"/>
    </row>
    <row r="382" spans="5:29" x14ac:dyDescent="0.25">
      <c r="E382" s="138"/>
      <c r="F382" s="173"/>
      <c r="G382" s="138"/>
      <c r="H382" s="115"/>
      <c r="I382" s="115"/>
      <c r="J382" s="115"/>
      <c r="K382" s="115"/>
      <c r="L382" s="115"/>
      <c r="M382" s="149"/>
      <c r="N382" s="149"/>
      <c r="O382" s="144"/>
      <c r="P382" s="143"/>
      <c r="Q382" s="144"/>
      <c r="R382" s="144"/>
      <c r="S382" s="144"/>
      <c r="T382" s="150"/>
      <c r="U382" s="145"/>
      <c r="V382" s="143"/>
      <c r="W382" s="143"/>
      <c r="X382" s="3"/>
      <c r="AB382" s="148"/>
      <c r="AC382" s="148"/>
    </row>
    <row r="383" spans="5:29" x14ac:dyDescent="0.25">
      <c r="E383" s="138"/>
      <c r="F383" s="173"/>
      <c r="G383" s="138"/>
      <c r="H383" s="115"/>
      <c r="I383" s="115"/>
      <c r="J383" s="115"/>
      <c r="K383" s="115"/>
      <c r="L383" s="115"/>
      <c r="M383" s="149"/>
      <c r="N383" s="149"/>
      <c r="O383" s="144"/>
      <c r="P383" s="143"/>
      <c r="Q383" s="144"/>
      <c r="R383" s="144"/>
      <c r="S383" s="144"/>
      <c r="T383" s="150"/>
      <c r="U383" s="145"/>
      <c r="V383" s="143"/>
      <c r="W383" s="143"/>
      <c r="X383" s="3"/>
      <c r="AB383" s="148"/>
      <c r="AC383" s="148"/>
    </row>
    <row r="384" spans="5:29" x14ac:dyDescent="0.25">
      <c r="E384" s="138"/>
      <c r="F384" s="173"/>
      <c r="G384" s="138"/>
      <c r="H384" s="115"/>
      <c r="I384" s="115"/>
      <c r="J384" s="115"/>
      <c r="K384" s="115"/>
      <c r="L384" s="115"/>
      <c r="M384" s="149"/>
      <c r="N384" s="149"/>
      <c r="O384" s="144"/>
      <c r="P384" s="143"/>
      <c r="Q384" s="144"/>
      <c r="R384" s="144"/>
      <c r="S384" s="144"/>
      <c r="T384" s="150"/>
      <c r="U384" s="145"/>
      <c r="V384" s="143"/>
      <c r="W384" s="143"/>
      <c r="X384" s="3"/>
      <c r="AB384" s="148"/>
      <c r="AC384" s="148"/>
    </row>
    <row r="385" spans="5:29" x14ac:dyDescent="0.25">
      <c r="E385" s="138"/>
      <c r="F385" s="173"/>
      <c r="G385" s="138"/>
      <c r="H385" s="115"/>
      <c r="I385" s="115"/>
      <c r="J385" s="115"/>
      <c r="K385" s="115"/>
      <c r="L385" s="115"/>
      <c r="M385" s="149"/>
      <c r="N385" s="149"/>
      <c r="O385" s="144"/>
      <c r="P385" s="143"/>
      <c r="Q385" s="144"/>
      <c r="R385" s="144"/>
      <c r="S385" s="144"/>
      <c r="T385" s="150"/>
      <c r="U385" s="145"/>
      <c r="V385" s="143"/>
      <c r="W385" s="143"/>
      <c r="X385" s="3"/>
      <c r="AB385" s="148"/>
      <c r="AC385" s="148"/>
    </row>
    <row r="386" spans="5:29" x14ac:dyDescent="0.25">
      <c r="E386" s="138"/>
      <c r="F386" s="173"/>
      <c r="G386" s="138"/>
      <c r="H386" s="115"/>
      <c r="I386" s="115"/>
      <c r="J386" s="115"/>
      <c r="K386" s="115"/>
      <c r="L386" s="115"/>
      <c r="M386" s="149"/>
      <c r="N386" s="149"/>
      <c r="O386" s="144"/>
      <c r="P386" s="143"/>
      <c r="Q386" s="144"/>
      <c r="R386" s="144"/>
      <c r="S386" s="144"/>
      <c r="T386" s="150"/>
      <c r="U386" s="145"/>
      <c r="V386" s="143"/>
      <c r="W386" s="143"/>
      <c r="X386" s="3"/>
      <c r="AB386" s="148"/>
      <c r="AC386" s="148"/>
    </row>
    <row r="387" spans="5:29" x14ac:dyDescent="0.25">
      <c r="E387" s="138"/>
      <c r="F387" s="173"/>
      <c r="G387" s="138"/>
      <c r="H387" s="115"/>
      <c r="I387" s="115"/>
      <c r="J387" s="115"/>
      <c r="K387" s="115"/>
      <c r="L387" s="115"/>
      <c r="M387" s="149"/>
      <c r="N387" s="149"/>
      <c r="O387" s="144"/>
      <c r="P387" s="143"/>
      <c r="Q387" s="144"/>
      <c r="R387" s="144"/>
      <c r="S387" s="144"/>
      <c r="T387" s="150"/>
      <c r="U387" s="145"/>
      <c r="V387" s="143"/>
      <c r="W387" s="143"/>
      <c r="X387" s="3"/>
      <c r="AB387" s="148"/>
      <c r="AC387" s="148"/>
    </row>
    <row r="388" spans="5:29" x14ac:dyDescent="0.25">
      <c r="E388" s="138"/>
      <c r="F388" s="173"/>
      <c r="G388" s="138"/>
      <c r="H388" s="115"/>
      <c r="I388" s="115"/>
      <c r="J388" s="115"/>
      <c r="K388" s="115"/>
      <c r="L388" s="115"/>
      <c r="M388" s="149"/>
      <c r="N388" s="149"/>
      <c r="O388" s="144"/>
      <c r="P388" s="143"/>
      <c r="Q388" s="144"/>
      <c r="R388" s="144"/>
      <c r="S388" s="144"/>
      <c r="T388" s="150"/>
      <c r="U388" s="145"/>
      <c r="V388" s="143"/>
      <c r="W388" s="143"/>
      <c r="X388" s="3"/>
      <c r="AB388" s="148"/>
      <c r="AC388" s="148"/>
    </row>
    <row r="389" spans="5:29" x14ac:dyDescent="0.25">
      <c r="E389" s="138"/>
      <c r="F389" s="173"/>
      <c r="G389" s="138"/>
      <c r="H389" s="115"/>
      <c r="I389" s="115"/>
      <c r="J389" s="115"/>
      <c r="K389" s="115"/>
      <c r="L389" s="115"/>
      <c r="M389" s="149"/>
      <c r="N389" s="149"/>
      <c r="O389" s="144"/>
      <c r="P389" s="143"/>
      <c r="Q389" s="144"/>
      <c r="R389" s="144"/>
      <c r="S389" s="144"/>
      <c r="T389" s="150"/>
      <c r="U389" s="145"/>
      <c r="V389" s="143"/>
      <c r="W389" s="143"/>
      <c r="X389" s="3"/>
      <c r="AB389" s="148"/>
      <c r="AC389" s="148"/>
    </row>
    <row r="390" spans="5:29" x14ac:dyDescent="0.25">
      <c r="E390" s="138"/>
      <c r="F390" s="173"/>
      <c r="G390" s="138"/>
      <c r="H390" s="115"/>
      <c r="I390" s="115"/>
      <c r="J390" s="115"/>
      <c r="K390" s="115"/>
      <c r="L390" s="115"/>
      <c r="M390" s="149"/>
      <c r="N390" s="149"/>
      <c r="O390" s="144"/>
      <c r="P390" s="143"/>
      <c r="Q390" s="144"/>
      <c r="R390" s="144"/>
      <c r="S390" s="144"/>
      <c r="T390" s="150"/>
      <c r="U390" s="145"/>
      <c r="V390" s="143"/>
      <c r="W390" s="143"/>
      <c r="X390" s="3"/>
      <c r="AB390" s="148"/>
      <c r="AC390" s="148"/>
    </row>
    <row r="391" spans="5:29" x14ac:dyDescent="0.25">
      <c r="E391" s="138"/>
      <c r="F391" s="173"/>
      <c r="G391" s="138"/>
      <c r="H391" s="115"/>
      <c r="I391" s="115"/>
      <c r="J391" s="115"/>
      <c r="K391" s="115"/>
      <c r="L391" s="115"/>
      <c r="M391" s="149"/>
      <c r="N391" s="149"/>
      <c r="O391" s="144"/>
      <c r="P391" s="143"/>
      <c r="Q391" s="144"/>
      <c r="R391" s="144"/>
      <c r="S391" s="144"/>
      <c r="T391" s="150"/>
      <c r="U391" s="145"/>
      <c r="V391" s="143"/>
      <c r="W391" s="143"/>
      <c r="X391" s="3"/>
      <c r="AB391" s="148"/>
      <c r="AC391" s="148"/>
    </row>
    <row r="392" spans="5:29" x14ac:dyDescent="0.25">
      <c r="E392" s="138"/>
      <c r="F392" s="173"/>
      <c r="G392" s="138"/>
      <c r="H392" s="115"/>
      <c r="I392" s="115"/>
      <c r="J392" s="115"/>
      <c r="K392" s="115"/>
      <c r="L392" s="115"/>
      <c r="M392" s="149"/>
      <c r="N392" s="149"/>
      <c r="O392" s="144"/>
      <c r="P392" s="143"/>
      <c r="Q392" s="144"/>
      <c r="R392" s="144"/>
      <c r="S392" s="144"/>
      <c r="T392" s="150"/>
      <c r="U392" s="145"/>
      <c r="V392" s="143"/>
      <c r="W392" s="143"/>
      <c r="X392" s="3"/>
      <c r="AB392" s="148"/>
      <c r="AC392" s="148"/>
    </row>
    <row r="393" spans="5:29" x14ac:dyDescent="0.25">
      <c r="E393" s="138"/>
      <c r="F393" s="173"/>
      <c r="G393" s="138"/>
      <c r="H393" s="115"/>
      <c r="I393" s="115"/>
      <c r="J393" s="115"/>
      <c r="K393" s="115"/>
      <c r="L393" s="115"/>
      <c r="M393" s="149"/>
      <c r="N393" s="149"/>
      <c r="O393" s="144"/>
      <c r="P393" s="143"/>
      <c r="Q393" s="144"/>
      <c r="R393" s="144"/>
      <c r="S393" s="144"/>
      <c r="T393" s="150"/>
      <c r="U393" s="145"/>
      <c r="V393" s="143"/>
      <c r="W393" s="143"/>
      <c r="X393" s="3"/>
      <c r="AB393" s="148"/>
      <c r="AC393" s="148"/>
    </row>
    <row r="394" spans="5:29" x14ac:dyDescent="0.25">
      <c r="E394" s="138"/>
      <c r="F394" s="173"/>
      <c r="G394" s="138"/>
      <c r="H394" s="115"/>
      <c r="I394" s="115"/>
      <c r="J394" s="115"/>
      <c r="K394" s="115"/>
      <c r="L394" s="115"/>
      <c r="M394" s="149"/>
      <c r="N394" s="149"/>
      <c r="O394" s="144"/>
      <c r="P394" s="143"/>
      <c r="Q394" s="144"/>
      <c r="R394" s="144"/>
      <c r="S394" s="144"/>
      <c r="T394" s="150"/>
      <c r="U394" s="145"/>
      <c r="V394" s="143"/>
      <c r="W394" s="143"/>
      <c r="X394" s="3"/>
      <c r="AB394" s="148"/>
      <c r="AC394" s="148"/>
    </row>
    <row r="395" spans="5:29" x14ac:dyDescent="0.25">
      <c r="E395" s="138"/>
      <c r="F395" s="173"/>
      <c r="G395" s="138"/>
      <c r="H395" s="115"/>
      <c r="I395" s="115"/>
      <c r="J395" s="115"/>
      <c r="K395" s="115"/>
      <c r="L395" s="115"/>
      <c r="M395" s="149"/>
      <c r="N395" s="149"/>
      <c r="O395" s="144"/>
      <c r="P395" s="143"/>
      <c r="Q395" s="144"/>
      <c r="R395" s="144"/>
      <c r="S395" s="144"/>
      <c r="T395" s="150"/>
      <c r="U395" s="145"/>
      <c r="V395" s="143"/>
      <c r="W395" s="143"/>
      <c r="X395" s="3"/>
      <c r="AB395" s="148"/>
      <c r="AC395" s="148"/>
    </row>
    <row r="396" spans="5:29" x14ac:dyDescent="0.25">
      <c r="E396" s="138"/>
      <c r="F396" s="173"/>
      <c r="G396" s="138"/>
      <c r="H396" s="115"/>
      <c r="I396" s="115"/>
      <c r="J396" s="115"/>
      <c r="K396" s="115"/>
      <c r="L396" s="115"/>
      <c r="M396" s="149"/>
      <c r="N396" s="149"/>
      <c r="O396" s="144"/>
      <c r="P396" s="143"/>
      <c r="Q396" s="144"/>
      <c r="R396" s="144"/>
      <c r="S396" s="144"/>
      <c r="T396" s="150"/>
      <c r="U396" s="145"/>
      <c r="V396" s="143"/>
      <c r="W396" s="143"/>
      <c r="X396" s="3"/>
      <c r="AB396" s="148"/>
      <c r="AC396" s="148"/>
    </row>
    <row r="397" spans="5:29" x14ac:dyDescent="0.25">
      <c r="E397" s="138"/>
      <c r="F397" s="173"/>
      <c r="G397" s="138"/>
      <c r="H397" s="115"/>
      <c r="I397" s="115"/>
      <c r="J397" s="115"/>
      <c r="K397" s="115"/>
      <c r="L397" s="115"/>
      <c r="M397" s="149"/>
      <c r="N397" s="149"/>
      <c r="O397" s="144"/>
      <c r="P397" s="143"/>
      <c r="Q397" s="144"/>
      <c r="R397" s="144"/>
      <c r="S397" s="144"/>
      <c r="T397" s="150"/>
      <c r="U397" s="145"/>
      <c r="V397" s="143"/>
      <c r="W397" s="143"/>
      <c r="X397" s="3"/>
      <c r="AB397" s="148"/>
      <c r="AC397" s="148"/>
    </row>
    <row r="398" spans="5:29" x14ac:dyDescent="0.25">
      <c r="E398" s="138"/>
      <c r="F398" s="173"/>
      <c r="G398" s="138"/>
      <c r="H398" s="115"/>
      <c r="I398" s="115"/>
      <c r="J398" s="115"/>
      <c r="K398" s="115"/>
      <c r="L398" s="115"/>
      <c r="M398" s="149"/>
      <c r="N398" s="149"/>
      <c r="O398" s="144"/>
      <c r="P398" s="143"/>
      <c r="Q398" s="144"/>
      <c r="R398" s="144"/>
      <c r="S398" s="144"/>
      <c r="T398" s="150"/>
      <c r="U398" s="145"/>
      <c r="V398" s="143"/>
      <c r="W398" s="143"/>
      <c r="X398" s="3"/>
      <c r="AB398" s="148"/>
      <c r="AC398" s="148"/>
    </row>
    <row r="399" spans="5:29" x14ac:dyDescent="0.25">
      <c r="E399" s="138"/>
      <c r="F399" s="173"/>
      <c r="G399" s="138"/>
      <c r="H399" s="115"/>
      <c r="I399" s="115"/>
      <c r="J399" s="115"/>
      <c r="K399" s="115"/>
      <c r="L399" s="115"/>
      <c r="M399" s="149"/>
      <c r="N399" s="149"/>
      <c r="O399" s="144"/>
      <c r="P399" s="143"/>
      <c r="Q399" s="144"/>
      <c r="R399" s="144"/>
      <c r="S399" s="144"/>
      <c r="T399" s="150"/>
      <c r="U399" s="145"/>
      <c r="V399" s="143"/>
      <c r="W399" s="143"/>
      <c r="X399" s="3"/>
      <c r="AB399" s="148"/>
      <c r="AC399" s="148"/>
    </row>
    <row r="400" spans="5:29" x14ac:dyDescent="0.25">
      <c r="E400" s="138"/>
      <c r="F400" s="173"/>
      <c r="G400" s="138"/>
      <c r="H400" s="115"/>
      <c r="I400" s="115"/>
      <c r="J400" s="115"/>
      <c r="K400" s="115"/>
      <c r="L400" s="115"/>
      <c r="M400" s="149"/>
      <c r="N400" s="149"/>
      <c r="O400" s="144"/>
      <c r="P400" s="143"/>
      <c r="Q400" s="144"/>
      <c r="R400" s="144"/>
      <c r="S400" s="144"/>
      <c r="T400" s="150"/>
      <c r="U400" s="145"/>
      <c r="V400" s="143"/>
      <c r="W400" s="143"/>
      <c r="X400" s="3"/>
      <c r="AB400" s="148"/>
      <c r="AC400" s="148"/>
    </row>
    <row r="401" spans="5:29" x14ac:dyDescent="0.25">
      <c r="E401" s="138"/>
      <c r="F401" s="173"/>
      <c r="G401" s="138"/>
      <c r="H401" s="115"/>
      <c r="I401" s="115"/>
      <c r="J401" s="115"/>
      <c r="K401" s="115"/>
      <c r="L401" s="115"/>
      <c r="M401" s="149"/>
      <c r="N401" s="149"/>
      <c r="O401" s="144"/>
      <c r="P401" s="143"/>
      <c r="Q401" s="144"/>
      <c r="R401" s="144"/>
      <c r="S401" s="144"/>
      <c r="T401" s="150"/>
      <c r="U401" s="145"/>
      <c r="V401" s="143"/>
      <c r="W401" s="143"/>
      <c r="X401" s="3"/>
      <c r="AB401" s="148"/>
      <c r="AC401" s="148"/>
    </row>
    <row r="402" spans="5:29" x14ac:dyDescent="0.25">
      <c r="E402" s="138"/>
      <c r="F402" s="173"/>
      <c r="G402" s="138"/>
      <c r="H402" s="115"/>
      <c r="I402" s="115"/>
      <c r="J402" s="115"/>
      <c r="K402" s="115"/>
      <c r="L402" s="115"/>
      <c r="M402" s="149"/>
      <c r="N402" s="149"/>
      <c r="O402" s="144"/>
      <c r="P402" s="143"/>
      <c r="Q402" s="144"/>
      <c r="R402" s="144"/>
      <c r="S402" s="144"/>
      <c r="T402" s="150"/>
      <c r="U402" s="145"/>
      <c r="V402" s="143"/>
      <c r="W402" s="143"/>
      <c r="X402" s="3"/>
      <c r="AB402" s="148"/>
      <c r="AC402" s="148"/>
    </row>
    <row r="403" spans="5:29" x14ac:dyDescent="0.25">
      <c r="E403" s="138"/>
      <c r="F403" s="173"/>
      <c r="G403" s="138"/>
      <c r="H403" s="115"/>
      <c r="I403" s="115"/>
      <c r="J403" s="115"/>
      <c r="K403" s="115"/>
      <c r="L403" s="115"/>
      <c r="M403" s="149"/>
      <c r="N403" s="149"/>
      <c r="O403" s="144"/>
      <c r="P403" s="143"/>
      <c r="Q403" s="144"/>
      <c r="R403" s="144"/>
      <c r="S403" s="144"/>
      <c r="T403" s="150"/>
      <c r="U403" s="145"/>
      <c r="V403" s="143"/>
      <c r="W403" s="143"/>
      <c r="X403" s="3"/>
      <c r="AB403" s="148"/>
      <c r="AC403" s="148"/>
    </row>
    <row r="404" spans="5:29" x14ac:dyDescent="0.25">
      <c r="E404" s="138"/>
      <c r="F404" s="173"/>
      <c r="G404" s="138"/>
      <c r="H404" s="115"/>
      <c r="I404" s="115"/>
      <c r="J404" s="115"/>
      <c r="K404" s="115"/>
      <c r="L404" s="115"/>
      <c r="M404" s="149"/>
      <c r="N404" s="149"/>
      <c r="O404" s="144"/>
      <c r="P404" s="143"/>
      <c r="Q404" s="144"/>
      <c r="R404" s="144"/>
      <c r="S404" s="144"/>
      <c r="T404" s="150"/>
      <c r="U404" s="145"/>
      <c r="V404" s="143"/>
      <c r="W404" s="143"/>
      <c r="X404" s="3"/>
      <c r="AB404" s="148"/>
      <c r="AC404" s="148"/>
    </row>
    <row r="405" spans="5:29" x14ac:dyDescent="0.25">
      <c r="E405" s="138"/>
      <c r="F405" s="173"/>
      <c r="G405" s="138"/>
      <c r="H405" s="115"/>
      <c r="I405" s="115"/>
      <c r="J405" s="115"/>
      <c r="K405" s="115"/>
      <c r="L405" s="115"/>
      <c r="M405" s="149"/>
      <c r="N405" s="149"/>
      <c r="O405" s="144"/>
      <c r="P405" s="143"/>
      <c r="Q405" s="144"/>
      <c r="R405" s="144"/>
      <c r="S405" s="144"/>
      <c r="T405" s="150"/>
      <c r="U405" s="145"/>
      <c r="V405" s="143"/>
      <c r="W405" s="143"/>
      <c r="X405" s="3"/>
      <c r="AB405" s="148"/>
      <c r="AC405" s="148"/>
    </row>
    <row r="406" spans="5:29" x14ac:dyDescent="0.25">
      <c r="E406" s="138"/>
      <c r="F406" s="173"/>
      <c r="G406" s="138"/>
      <c r="H406" s="115"/>
      <c r="I406" s="115"/>
      <c r="J406" s="115"/>
      <c r="K406" s="115"/>
      <c r="L406" s="115"/>
      <c r="M406" s="149"/>
      <c r="N406" s="149"/>
      <c r="O406" s="144"/>
      <c r="P406" s="143"/>
      <c r="Q406" s="144"/>
      <c r="R406" s="144"/>
      <c r="S406" s="144"/>
      <c r="T406" s="150"/>
      <c r="U406" s="145"/>
      <c r="V406" s="143"/>
      <c r="W406" s="143"/>
      <c r="X406" s="3"/>
      <c r="AB406" s="148"/>
      <c r="AC406" s="148"/>
    </row>
    <row r="407" spans="5:29" x14ac:dyDescent="0.25">
      <c r="E407" s="138"/>
      <c r="F407" s="173"/>
      <c r="G407" s="138"/>
      <c r="H407" s="115"/>
      <c r="I407" s="115"/>
      <c r="J407" s="115"/>
      <c r="K407" s="115"/>
      <c r="L407" s="115"/>
      <c r="M407" s="149"/>
      <c r="N407" s="149"/>
      <c r="O407" s="144"/>
      <c r="P407" s="143"/>
      <c r="Q407" s="144"/>
      <c r="R407" s="144"/>
      <c r="S407" s="144"/>
      <c r="T407" s="150"/>
      <c r="U407" s="145"/>
      <c r="V407" s="143"/>
      <c r="W407" s="143"/>
      <c r="X407" s="3"/>
      <c r="AB407" s="148"/>
      <c r="AC407" s="148"/>
    </row>
    <row r="408" spans="5:29" x14ac:dyDescent="0.25">
      <c r="E408" s="138"/>
      <c r="F408" s="173"/>
      <c r="G408" s="138"/>
      <c r="H408" s="115"/>
      <c r="I408" s="115"/>
      <c r="J408" s="115"/>
      <c r="K408" s="115"/>
      <c r="L408" s="115"/>
      <c r="M408" s="149"/>
      <c r="N408" s="149"/>
      <c r="O408" s="144"/>
      <c r="P408" s="143"/>
      <c r="Q408" s="144"/>
      <c r="R408" s="144"/>
      <c r="S408" s="144"/>
      <c r="T408" s="150"/>
      <c r="U408" s="145"/>
      <c r="V408" s="143"/>
      <c r="W408" s="143"/>
      <c r="X408" s="3"/>
      <c r="AB408" s="148"/>
      <c r="AC408" s="148"/>
    </row>
    <row r="409" spans="5:29" x14ac:dyDescent="0.25">
      <c r="E409" s="138"/>
      <c r="F409" s="173"/>
      <c r="G409" s="138"/>
      <c r="H409" s="115"/>
      <c r="I409" s="115"/>
      <c r="J409" s="115"/>
      <c r="K409" s="115"/>
      <c r="L409" s="115"/>
      <c r="M409" s="149"/>
      <c r="N409" s="149"/>
      <c r="O409" s="144"/>
      <c r="P409" s="143"/>
      <c r="Q409" s="144"/>
      <c r="R409" s="144"/>
      <c r="S409" s="144"/>
      <c r="T409" s="150"/>
      <c r="U409" s="145"/>
      <c r="V409" s="143"/>
      <c r="W409" s="143"/>
      <c r="X409" s="3"/>
      <c r="AB409" s="148"/>
      <c r="AC409" s="148"/>
    </row>
    <row r="410" spans="5:29" x14ac:dyDescent="0.25">
      <c r="E410" s="138"/>
      <c r="F410" s="173"/>
      <c r="G410" s="138"/>
      <c r="H410" s="115"/>
      <c r="I410" s="115"/>
      <c r="J410" s="115"/>
      <c r="K410" s="115"/>
      <c r="L410" s="115"/>
      <c r="M410" s="149"/>
      <c r="N410" s="149"/>
      <c r="O410" s="144"/>
      <c r="P410" s="143"/>
      <c r="Q410" s="144"/>
      <c r="R410" s="144"/>
      <c r="S410" s="144"/>
      <c r="T410" s="150"/>
      <c r="U410" s="145"/>
      <c r="V410" s="143"/>
      <c r="W410" s="143"/>
      <c r="X410" s="3"/>
      <c r="AB410" s="148"/>
      <c r="AC410" s="148"/>
    </row>
    <row r="411" spans="5:29" x14ac:dyDescent="0.25">
      <c r="E411" s="138"/>
      <c r="F411" s="173"/>
      <c r="G411" s="138"/>
      <c r="H411" s="115"/>
      <c r="I411" s="115"/>
      <c r="J411" s="115"/>
      <c r="K411" s="115"/>
      <c r="L411" s="115"/>
      <c r="M411" s="149"/>
      <c r="N411" s="149"/>
      <c r="O411" s="144"/>
      <c r="P411" s="143"/>
      <c r="Q411" s="144"/>
      <c r="R411" s="144"/>
      <c r="S411" s="144"/>
      <c r="T411" s="150"/>
      <c r="U411" s="145"/>
      <c r="V411" s="143"/>
      <c r="W411" s="143"/>
      <c r="X411" s="3"/>
      <c r="AB411" s="148"/>
      <c r="AC411" s="148"/>
    </row>
    <row r="412" spans="5:29" x14ac:dyDescent="0.25">
      <c r="E412" s="138"/>
      <c r="F412" s="173"/>
      <c r="G412" s="138"/>
      <c r="H412" s="115"/>
      <c r="I412" s="115"/>
      <c r="J412" s="115"/>
      <c r="K412" s="115"/>
      <c r="L412" s="115"/>
      <c r="M412" s="149"/>
      <c r="N412" s="149"/>
      <c r="O412" s="144"/>
      <c r="P412" s="143"/>
      <c r="Q412" s="144"/>
      <c r="R412" s="144"/>
      <c r="S412" s="144"/>
      <c r="T412" s="150"/>
      <c r="U412" s="145"/>
      <c r="V412" s="143"/>
      <c r="W412" s="143"/>
      <c r="X412" s="3"/>
      <c r="AB412" s="148"/>
      <c r="AC412" s="148"/>
    </row>
    <row r="413" spans="5:29" x14ac:dyDescent="0.25">
      <c r="E413" s="138"/>
      <c r="F413" s="173"/>
      <c r="G413" s="138"/>
      <c r="H413" s="115"/>
      <c r="I413" s="115"/>
      <c r="J413" s="115"/>
      <c r="K413" s="115"/>
      <c r="L413" s="115"/>
      <c r="M413" s="149"/>
      <c r="N413" s="149"/>
      <c r="O413" s="144"/>
      <c r="P413" s="143"/>
      <c r="Q413" s="144"/>
      <c r="R413" s="144"/>
      <c r="S413" s="144"/>
      <c r="T413" s="150"/>
      <c r="U413" s="145"/>
      <c r="V413" s="143"/>
      <c r="W413" s="143"/>
      <c r="X413" s="3"/>
      <c r="AB413" s="148"/>
      <c r="AC413" s="148"/>
    </row>
    <row r="414" spans="5:29" x14ac:dyDescent="0.25">
      <c r="E414" s="138"/>
      <c r="F414" s="173"/>
      <c r="G414" s="138"/>
      <c r="H414" s="115"/>
      <c r="I414" s="115"/>
      <c r="J414" s="115"/>
      <c r="K414" s="115"/>
      <c r="L414" s="115"/>
      <c r="M414" s="149"/>
      <c r="N414" s="149"/>
      <c r="O414" s="144"/>
      <c r="P414" s="143"/>
      <c r="Q414" s="144"/>
      <c r="R414" s="144"/>
      <c r="S414" s="144"/>
      <c r="T414" s="150"/>
      <c r="U414" s="145"/>
      <c r="V414" s="143"/>
      <c r="W414" s="143"/>
      <c r="X414" s="3"/>
      <c r="AB414" s="148"/>
      <c r="AC414" s="148"/>
    </row>
    <row r="415" spans="5:29" x14ac:dyDescent="0.25">
      <c r="E415" s="138"/>
      <c r="F415" s="173"/>
      <c r="G415" s="138"/>
      <c r="H415" s="115"/>
      <c r="I415" s="115"/>
      <c r="J415" s="115"/>
      <c r="K415" s="115"/>
      <c r="L415" s="115"/>
      <c r="M415" s="149"/>
      <c r="N415" s="149"/>
      <c r="O415" s="144"/>
      <c r="P415" s="143"/>
      <c r="Q415" s="144"/>
      <c r="R415" s="144"/>
      <c r="S415" s="144"/>
      <c r="T415" s="150"/>
      <c r="U415" s="145"/>
      <c r="V415" s="143"/>
      <c r="W415" s="143"/>
      <c r="X415" s="3"/>
      <c r="AB415" s="148"/>
      <c r="AC415" s="148"/>
    </row>
    <row r="416" spans="5:29" x14ac:dyDescent="0.25">
      <c r="E416" s="138"/>
      <c r="F416" s="173"/>
      <c r="G416" s="138"/>
      <c r="H416" s="115"/>
      <c r="I416" s="115"/>
      <c r="J416" s="115"/>
      <c r="K416" s="115"/>
      <c r="L416" s="115"/>
      <c r="M416" s="149"/>
      <c r="N416" s="149"/>
      <c r="O416" s="144"/>
      <c r="P416" s="143"/>
      <c r="Q416" s="144"/>
      <c r="R416" s="144"/>
      <c r="S416" s="144"/>
      <c r="T416" s="150"/>
      <c r="U416" s="145"/>
      <c r="V416" s="143"/>
      <c r="W416" s="143"/>
      <c r="X416" s="3"/>
      <c r="AB416" s="148"/>
      <c r="AC416" s="148"/>
    </row>
    <row r="417" spans="5:29" x14ac:dyDescent="0.25">
      <c r="E417" s="138"/>
      <c r="F417" s="173"/>
      <c r="G417" s="138"/>
      <c r="H417" s="115"/>
      <c r="I417" s="115"/>
      <c r="J417" s="115"/>
      <c r="K417" s="115"/>
      <c r="L417" s="115"/>
      <c r="M417" s="149"/>
      <c r="N417" s="149"/>
      <c r="O417" s="144"/>
      <c r="P417" s="143"/>
      <c r="Q417" s="144"/>
      <c r="R417" s="144"/>
      <c r="S417" s="144"/>
      <c r="T417" s="150"/>
      <c r="U417" s="145"/>
      <c r="V417" s="143"/>
      <c r="W417" s="143"/>
      <c r="X417" s="3"/>
      <c r="AB417" s="148"/>
      <c r="AC417" s="148"/>
    </row>
    <row r="418" spans="5:29" x14ac:dyDescent="0.25">
      <c r="E418" s="138"/>
      <c r="F418" s="173"/>
      <c r="G418" s="138"/>
      <c r="H418" s="115"/>
      <c r="I418" s="115"/>
      <c r="J418" s="115"/>
      <c r="K418" s="115"/>
      <c r="L418" s="115"/>
      <c r="M418" s="149"/>
      <c r="N418" s="149"/>
      <c r="O418" s="144"/>
      <c r="P418" s="143"/>
      <c r="Q418" s="144"/>
      <c r="R418" s="144"/>
      <c r="S418" s="144"/>
      <c r="T418" s="150"/>
      <c r="U418" s="145"/>
      <c r="V418" s="143"/>
      <c r="W418" s="143"/>
      <c r="X418" s="3"/>
      <c r="AB418" s="148"/>
      <c r="AC418" s="148"/>
    </row>
    <row r="419" spans="5:29" x14ac:dyDescent="0.25">
      <c r="E419" s="138"/>
      <c r="F419" s="173"/>
      <c r="G419" s="138"/>
      <c r="H419" s="115"/>
      <c r="I419" s="115"/>
      <c r="J419" s="115"/>
      <c r="K419" s="115"/>
      <c r="L419" s="115"/>
      <c r="M419" s="149"/>
      <c r="N419" s="149"/>
      <c r="O419" s="144"/>
      <c r="P419" s="143"/>
      <c r="Q419" s="144"/>
      <c r="R419" s="144"/>
      <c r="S419" s="144"/>
      <c r="T419" s="150"/>
      <c r="U419" s="145"/>
      <c r="V419" s="143"/>
      <c r="W419" s="143"/>
      <c r="X419" s="3"/>
      <c r="AB419" s="148"/>
      <c r="AC419" s="148"/>
    </row>
    <row r="420" spans="5:29" x14ac:dyDescent="0.25">
      <c r="E420" s="138"/>
      <c r="F420" s="173"/>
      <c r="G420" s="138"/>
      <c r="H420" s="115"/>
      <c r="I420" s="115"/>
      <c r="J420" s="115"/>
      <c r="K420" s="115"/>
      <c r="L420" s="115"/>
      <c r="M420" s="149"/>
      <c r="N420" s="149"/>
      <c r="O420" s="144"/>
      <c r="P420" s="143"/>
      <c r="Q420" s="144"/>
      <c r="R420" s="144"/>
      <c r="S420" s="144"/>
      <c r="T420" s="150"/>
      <c r="U420" s="145"/>
      <c r="V420" s="143"/>
      <c r="W420" s="143"/>
      <c r="X420" s="3"/>
      <c r="AB420" s="148"/>
      <c r="AC420" s="148"/>
    </row>
    <row r="421" spans="5:29" x14ac:dyDescent="0.25">
      <c r="E421" s="138"/>
      <c r="F421" s="173"/>
      <c r="G421" s="138"/>
      <c r="H421" s="115"/>
      <c r="I421" s="115"/>
      <c r="J421" s="115"/>
      <c r="K421" s="115"/>
      <c r="L421" s="115"/>
      <c r="M421" s="149"/>
      <c r="N421" s="149"/>
      <c r="O421" s="144"/>
      <c r="P421" s="143"/>
      <c r="Q421" s="144"/>
      <c r="R421" s="144"/>
      <c r="S421" s="144"/>
      <c r="T421" s="150"/>
      <c r="U421" s="145"/>
      <c r="V421" s="143"/>
      <c r="W421" s="143"/>
      <c r="X421" s="3"/>
      <c r="AB421" s="148"/>
      <c r="AC421" s="148"/>
    </row>
    <row r="422" spans="5:29" x14ac:dyDescent="0.25">
      <c r="E422" s="138"/>
      <c r="F422" s="173"/>
      <c r="G422" s="138"/>
      <c r="H422" s="115"/>
      <c r="I422" s="115"/>
      <c r="J422" s="115"/>
      <c r="K422" s="115"/>
      <c r="L422" s="115"/>
      <c r="M422" s="149"/>
      <c r="N422" s="149"/>
      <c r="O422" s="144"/>
      <c r="P422" s="143"/>
      <c r="Q422" s="144"/>
      <c r="R422" s="144"/>
      <c r="S422" s="144"/>
      <c r="T422" s="150"/>
      <c r="U422" s="145"/>
      <c r="V422" s="143"/>
      <c r="W422" s="143"/>
      <c r="X422" s="3"/>
      <c r="AB422" s="148"/>
      <c r="AC422" s="148"/>
    </row>
    <row r="423" spans="5:29" x14ac:dyDescent="0.25">
      <c r="E423" s="138"/>
      <c r="F423" s="173"/>
      <c r="G423" s="138"/>
      <c r="H423" s="115"/>
      <c r="I423" s="115"/>
      <c r="J423" s="115"/>
      <c r="K423" s="115"/>
      <c r="L423" s="115"/>
      <c r="M423" s="149"/>
      <c r="N423" s="149"/>
      <c r="O423" s="144"/>
      <c r="P423" s="143"/>
      <c r="Q423" s="144"/>
      <c r="R423" s="144"/>
      <c r="S423" s="144"/>
      <c r="T423" s="150"/>
      <c r="U423" s="145"/>
      <c r="V423" s="143"/>
      <c r="W423" s="143"/>
      <c r="X423" s="3"/>
      <c r="AB423" s="148"/>
      <c r="AC423" s="148"/>
    </row>
    <row r="424" spans="5:29" x14ac:dyDescent="0.25">
      <c r="E424" s="138"/>
      <c r="F424" s="173"/>
      <c r="G424" s="138"/>
      <c r="H424" s="115"/>
      <c r="I424" s="115"/>
      <c r="J424" s="115"/>
      <c r="K424" s="115"/>
      <c r="L424" s="115"/>
      <c r="M424" s="149"/>
      <c r="N424" s="149"/>
      <c r="O424" s="144"/>
      <c r="P424" s="143"/>
      <c r="Q424" s="144"/>
      <c r="R424" s="144"/>
      <c r="S424" s="144"/>
      <c r="T424" s="150"/>
      <c r="U424" s="145"/>
      <c r="V424" s="143"/>
      <c r="W424" s="143"/>
      <c r="X424" s="3"/>
      <c r="AB424" s="148"/>
      <c r="AC424" s="148"/>
    </row>
    <row r="425" spans="5:29" x14ac:dyDescent="0.25">
      <c r="E425" s="138"/>
      <c r="F425" s="173"/>
      <c r="G425" s="138"/>
      <c r="H425" s="115"/>
      <c r="I425" s="115"/>
      <c r="J425" s="115"/>
      <c r="K425" s="115"/>
      <c r="L425" s="115"/>
      <c r="M425" s="149"/>
      <c r="N425" s="149"/>
      <c r="O425" s="144"/>
      <c r="P425" s="143"/>
      <c r="Q425" s="144"/>
      <c r="R425" s="144"/>
      <c r="S425" s="144"/>
      <c r="T425" s="150"/>
      <c r="U425" s="145"/>
      <c r="V425" s="143"/>
      <c r="W425" s="143"/>
      <c r="X425" s="3"/>
      <c r="AB425" s="148"/>
      <c r="AC425" s="148"/>
    </row>
    <row r="426" spans="5:29" x14ac:dyDescent="0.25">
      <c r="E426" s="138"/>
      <c r="F426" s="173"/>
      <c r="G426" s="138"/>
      <c r="H426" s="115"/>
      <c r="I426" s="115"/>
      <c r="J426" s="115"/>
      <c r="K426" s="115"/>
      <c r="L426" s="115"/>
      <c r="M426" s="149"/>
      <c r="N426" s="149"/>
      <c r="O426" s="144"/>
      <c r="P426" s="143"/>
      <c r="Q426" s="144"/>
      <c r="R426" s="144"/>
      <c r="S426" s="144"/>
      <c r="T426" s="150"/>
      <c r="U426" s="145"/>
      <c r="V426" s="143"/>
      <c r="W426" s="143"/>
      <c r="X426" s="3"/>
      <c r="AB426" s="148"/>
      <c r="AC426" s="148"/>
    </row>
    <row r="427" spans="5:29" x14ac:dyDescent="0.25">
      <c r="E427" s="138"/>
      <c r="F427" s="173"/>
      <c r="G427" s="138"/>
      <c r="H427" s="115"/>
      <c r="I427" s="115"/>
      <c r="J427" s="115"/>
      <c r="K427" s="115"/>
      <c r="L427" s="115"/>
      <c r="M427" s="149"/>
      <c r="N427" s="149"/>
      <c r="O427" s="144"/>
      <c r="P427" s="143"/>
      <c r="Q427" s="144"/>
      <c r="R427" s="144"/>
      <c r="S427" s="144"/>
      <c r="T427" s="150"/>
      <c r="U427" s="145"/>
      <c r="V427" s="143"/>
      <c r="W427" s="143"/>
      <c r="X427" s="3"/>
      <c r="AB427" s="148"/>
      <c r="AC427" s="148"/>
    </row>
    <row r="428" spans="5:29" x14ac:dyDescent="0.25">
      <c r="E428" s="138"/>
      <c r="F428" s="173"/>
      <c r="G428" s="138"/>
      <c r="H428" s="115"/>
      <c r="I428" s="115"/>
      <c r="J428" s="115"/>
      <c r="K428" s="115"/>
      <c r="L428" s="115"/>
      <c r="M428" s="149"/>
      <c r="N428" s="149"/>
      <c r="O428" s="144"/>
      <c r="P428" s="143"/>
      <c r="Q428" s="144"/>
      <c r="R428" s="144"/>
      <c r="S428" s="144"/>
      <c r="T428" s="150"/>
      <c r="U428" s="145"/>
      <c r="V428" s="143"/>
      <c r="W428" s="143"/>
      <c r="X428" s="3"/>
      <c r="AB428" s="148"/>
      <c r="AC428" s="148"/>
    </row>
    <row r="429" spans="5:29" x14ac:dyDescent="0.25">
      <c r="E429" s="138"/>
      <c r="F429" s="173"/>
      <c r="G429" s="138"/>
      <c r="H429" s="115"/>
      <c r="I429" s="115"/>
      <c r="J429" s="115"/>
      <c r="K429" s="115"/>
      <c r="L429" s="115"/>
      <c r="M429" s="149"/>
      <c r="N429" s="149"/>
      <c r="O429" s="144"/>
      <c r="P429" s="143"/>
      <c r="Q429" s="144"/>
      <c r="R429" s="144"/>
      <c r="S429" s="144"/>
      <c r="T429" s="150"/>
      <c r="U429" s="145"/>
      <c r="V429" s="143"/>
      <c r="W429" s="143"/>
      <c r="X429" s="3"/>
      <c r="AB429" s="148"/>
      <c r="AC429" s="148"/>
    </row>
    <row r="430" spans="5:29" x14ac:dyDescent="0.25">
      <c r="E430" s="138"/>
      <c r="F430" s="173"/>
      <c r="G430" s="138"/>
      <c r="H430" s="115"/>
      <c r="I430" s="115"/>
      <c r="J430" s="115"/>
      <c r="K430" s="115"/>
      <c r="L430" s="115"/>
      <c r="M430" s="149"/>
      <c r="N430" s="149"/>
      <c r="O430" s="144"/>
      <c r="P430" s="143"/>
      <c r="Q430" s="144"/>
      <c r="R430" s="144"/>
      <c r="S430" s="144"/>
      <c r="T430" s="150"/>
      <c r="U430" s="145"/>
      <c r="V430" s="143"/>
      <c r="W430" s="143"/>
      <c r="X430" s="3"/>
      <c r="AB430" s="148"/>
      <c r="AC430" s="148"/>
    </row>
    <row r="431" spans="5:29" x14ac:dyDescent="0.25">
      <c r="E431" s="138"/>
      <c r="F431" s="173"/>
      <c r="G431" s="138"/>
      <c r="H431" s="115"/>
      <c r="I431" s="115"/>
      <c r="J431" s="115"/>
      <c r="K431" s="115"/>
      <c r="L431" s="115"/>
      <c r="M431" s="149"/>
      <c r="N431" s="149"/>
      <c r="O431" s="144"/>
      <c r="P431" s="143"/>
      <c r="Q431" s="144"/>
      <c r="R431" s="144"/>
      <c r="S431" s="144"/>
      <c r="T431" s="150"/>
      <c r="U431" s="145"/>
      <c r="V431" s="143"/>
      <c r="W431" s="143"/>
      <c r="X431" s="3"/>
      <c r="AB431" s="148"/>
      <c r="AC431" s="148"/>
    </row>
    <row r="432" spans="5:29" x14ac:dyDescent="0.25">
      <c r="E432" s="138"/>
      <c r="F432" s="173"/>
      <c r="G432" s="138"/>
      <c r="H432" s="115"/>
      <c r="I432" s="115"/>
      <c r="J432" s="115"/>
      <c r="K432" s="115"/>
      <c r="L432" s="115"/>
      <c r="M432" s="149"/>
      <c r="N432" s="149"/>
      <c r="O432" s="144"/>
      <c r="P432" s="143"/>
      <c r="Q432" s="144"/>
      <c r="R432" s="144"/>
      <c r="S432" s="144"/>
      <c r="T432" s="150"/>
      <c r="U432" s="145"/>
      <c r="V432" s="143"/>
      <c r="W432" s="143"/>
      <c r="X432" s="3"/>
      <c r="AB432" s="148"/>
      <c r="AC432" s="148"/>
    </row>
    <row r="433" spans="5:29" x14ac:dyDescent="0.25">
      <c r="E433" s="138"/>
      <c r="F433" s="173"/>
      <c r="G433" s="138"/>
      <c r="H433" s="115"/>
      <c r="I433" s="115"/>
      <c r="J433" s="115"/>
      <c r="K433" s="115"/>
      <c r="L433" s="115"/>
      <c r="M433" s="149"/>
      <c r="N433" s="149"/>
      <c r="O433" s="144"/>
      <c r="P433" s="143"/>
      <c r="Q433" s="144"/>
      <c r="R433" s="144"/>
      <c r="S433" s="144"/>
      <c r="T433" s="150"/>
      <c r="U433" s="145"/>
      <c r="V433" s="143"/>
      <c r="W433" s="143"/>
      <c r="X433" s="3"/>
      <c r="AB433" s="148"/>
      <c r="AC433" s="148"/>
    </row>
    <row r="434" spans="5:29" x14ac:dyDescent="0.25">
      <c r="E434" s="138"/>
      <c r="F434" s="173"/>
      <c r="G434" s="138"/>
      <c r="H434" s="115"/>
      <c r="I434" s="115"/>
      <c r="J434" s="115"/>
      <c r="K434" s="115"/>
      <c r="L434" s="115"/>
      <c r="M434" s="149"/>
      <c r="N434" s="149"/>
      <c r="O434" s="144"/>
      <c r="P434" s="143"/>
      <c r="Q434" s="144"/>
      <c r="R434" s="144"/>
      <c r="S434" s="144"/>
      <c r="T434" s="150"/>
      <c r="U434" s="145"/>
      <c r="V434" s="143"/>
      <c r="W434" s="143"/>
      <c r="X434" s="3"/>
      <c r="AB434" s="148"/>
      <c r="AC434" s="148"/>
    </row>
    <row r="435" spans="5:29" x14ac:dyDescent="0.25">
      <c r="E435" s="138"/>
      <c r="F435" s="173"/>
      <c r="G435" s="138"/>
      <c r="H435" s="115"/>
      <c r="I435" s="115"/>
      <c r="J435" s="115"/>
      <c r="K435" s="115"/>
      <c r="L435" s="115"/>
      <c r="M435" s="149"/>
      <c r="N435" s="149"/>
      <c r="O435" s="144"/>
      <c r="P435" s="143"/>
      <c r="Q435" s="144"/>
      <c r="R435" s="144"/>
      <c r="S435" s="144"/>
      <c r="T435" s="150"/>
      <c r="U435" s="145"/>
      <c r="V435" s="143"/>
      <c r="W435" s="143"/>
      <c r="X435" s="3"/>
      <c r="AB435" s="148"/>
      <c r="AC435" s="148"/>
    </row>
    <row r="436" spans="5:29" x14ac:dyDescent="0.25">
      <c r="E436" s="138"/>
      <c r="F436" s="173"/>
      <c r="G436" s="138"/>
      <c r="H436" s="115"/>
      <c r="I436" s="115"/>
      <c r="J436" s="115"/>
      <c r="K436" s="115"/>
      <c r="L436" s="115"/>
      <c r="M436" s="149"/>
      <c r="N436" s="149"/>
      <c r="O436" s="144"/>
      <c r="P436" s="143"/>
      <c r="Q436" s="144"/>
      <c r="R436" s="144"/>
      <c r="S436" s="144"/>
      <c r="T436" s="150"/>
      <c r="U436" s="145"/>
      <c r="V436" s="143"/>
      <c r="W436" s="143"/>
      <c r="X436" s="3"/>
      <c r="AB436" s="148"/>
      <c r="AC436" s="148"/>
    </row>
    <row r="437" spans="5:29" x14ac:dyDescent="0.25">
      <c r="E437" s="138"/>
      <c r="F437" s="173"/>
      <c r="G437" s="138"/>
      <c r="H437" s="115"/>
      <c r="I437" s="115"/>
      <c r="J437" s="115"/>
      <c r="K437" s="115"/>
      <c r="L437" s="115"/>
      <c r="M437" s="149"/>
      <c r="N437" s="149"/>
      <c r="O437" s="144"/>
      <c r="P437" s="143"/>
      <c r="Q437" s="144"/>
      <c r="R437" s="144"/>
      <c r="S437" s="144"/>
      <c r="T437" s="150"/>
      <c r="U437" s="145"/>
      <c r="V437" s="143"/>
      <c r="W437" s="143"/>
      <c r="X437" s="3"/>
      <c r="AB437" s="148"/>
      <c r="AC437" s="148"/>
    </row>
    <row r="438" spans="5:29" x14ac:dyDescent="0.25">
      <c r="E438" s="138"/>
      <c r="F438" s="173"/>
      <c r="G438" s="138"/>
      <c r="H438" s="115"/>
      <c r="I438" s="115"/>
      <c r="J438" s="115"/>
      <c r="K438" s="115"/>
      <c r="L438" s="115"/>
      <c r="M438" s="149"/>
      <c r="N438" s="149"/>
      <c r="O438" s="144"/>
      <c r="P438" s="143"/>
      <c r="Q438" s="144"/>
      <c r="R438" s="144"/>
      <c r="S438" s="144"/>
      <c r="T438" s="150"/>
      <c r="U438" s="145"/>
      <c r="V438" s="143"/>
      <c r="W438" s="143"/>
      <c r="X438" s="3"/>
      <c r="AB438" s="148"/>
      <c r="AC438" s="148"/>
    </row>
    <row r="439" spans="5:29" x14ac:dyDescent="0.25">
      <c r="E439" s="138"/>
      <c r="F439" s="173"/>
      <c r="G439" s="138"/>
      <c r="H439" s="115"/>
      <c r="I439" s="115"/>
      <c r="J439" s="115"/>
      <c r="K439" s="115"/>
      <c r="L439" s="115"/>
      <c r="M439" s="149"/>
      <c r="N439" s="149"/>
      <c r="O439" s="144"/>
      <c r="P439" s="143"/>
      <c r="Q439" s="144"/>
      <c r="R439" s="144"/>
      <c r="S439" s="144"/>
      <c r="T439" s="150"/>
      <c r="U439" s="145"/>
      <c r="V439" s="143"/>
      <c r="W439" s="143"/>
      <c r="X439" s="3"/>
      <c r="AB439" s="148"/>
      <c r="AC439" s="148"/>
    </row>
    <row r="440" spans="5:29" x14ac:dyDescent="0.25">
      <c r="E440" s="138"/>
      <c r="F440" s="173"/>
      <c r="G440" s="138"/>
      <c r="H440" s="115"/>
      <c r="I440" s="115"/>
      <c r="J440" s="115"/>
      <c r="K440" s="115"/>
      <c r="L440" s="115"/>
      <c r="M440" s="149"/>
      <c r="N440" s="149"/>
      <c r="O440" s="144"/>
      <c r="P440" s="143"/>
      <c r="Q440" s="144"/>
      <c r="R440" s="144"/>
      <c r="S440" s="144"/>
      <c r="T440" s="150"/>
      <c r="U440" s="145"/>
      <c r="V440" s="143"/>
      <c r="W440" s="143"/>
      <c r="X440" s="3"/>
      <c r="AB440" s="148"/>
      <c r="AC440" s="148"/>
    </row>
    <row r="441" spans="5:29" x14ac:dyDescent="0.25">
      <c r="E441" s="138"/>
      <c r="F441" s="173"/>
      <c r="G441" s="138"/>
      <c r="H441" s="115"/>
      <c r="I441" s="115"/>
      <c r="J441" s="115"/>
      <c r="K441" s="115"/>
      <c r="L441" s="115"/>
      <c r="M441" s="149"/>
      <c r="N441" s="149"/>
      <c r="O441" s="144"/>
      <c r="P441" s="143"/>
      <c r="Q441" s="144"/>
      <c r="R441" s="144"/>
      <c r="S441" s="144"/>
      <c r="T441" s="150"/>
      <c r="U441" s="145"/>
      <c r="V441" s="143"/>
      <c r="W441" s="143"/>
      <c r="X441" s="3"/>
      <c r="AB441" s="148"/>
      <c r="AC441" s="148"/>
    </row>
    <row r="442" spans="5:29" x14ac:dyDescent="0.25">
      <c r="E442" s="138"/>
      <c r="F442" s="173"/>
      <c r="G442" s="138"/>
      <c r="H442" s="115"/>
      <c r="I442" s="115"/>
      <c r="J442" s="115"/>
      <c r="K442" s="115"/>
      <c r="L442" s="115"/>
      <c r="M442" s="149"/>
      <c r="N442" s="149"/>
      <c r="O442" s="144"/>
      <c r="P442" s="143"/>
      <c r="Q442" s="144"/>
      <c r="R442" s="144"/>
      <c r="S442" s="144"/>
      <c r="T442" s="150"/>
      <c r="U442" s="145"/>
      <c r="V442" s="143"/>
      <c r="W442" s="143"/>
      <c r="X442" s="3"/>
      <c r="AB442" s="148"/>
      <c r="AC442" s="148"/>
    </row>
    <row r="443" spans="5:29" x14ac:dyDescent="0.25">
      <c r="E443" s="138"/>
      <c r="F443" s="173"/>
      <c r="G443" s="138"/>
      <c r="H443" s="115"/>
      <c r="I443" s="115"/>
      <c r="J443" s="115"/>
      <c r="K443" s="115"/>
      <c r="L443" s="115"/>
      <c r="M443" s="149"/>
      <c r="N443" s="149"/>
      <c r="O443" s="144"/>
      <c r="P443" s="143"/>
      <c r="Q443" s="144"/>
      <c r="R443" s="144"/>
      <c r="S443" s="144"/>
      <c r="T443" s="150"/>
      <c r="U443" s="145"/>
      <c r="V443" s="143"/>
      <c r="W443" s="143"/>
      <c r="X443" s="3"/>
      <c r="AB443" s="148"/>
      <c r="AC443" s="148"/>
    </row>
    <row r="444" spans="5:29" x14ac:dyDescent="0.25">
      <c r="E444" s="138"/>
      <c r="F444" s="173"/>
      <c r="G444" s="138"/>
      <c r="H444" s="115"/>
      <c r="I444" s="115"/>
      <c r="J444" s="115"/>
      <c r="K444" s="115"/>
      <c r="L444" s="115"/>
      <c r="M444" s="149"/>
      <c r="N444" s="149"/>
      <c r="O444" s="144"/>
      <c r="P444" s="143"/>
      <c r="Q444" s="144"/>
      <c r="R444" s="144"/>
      <c r="S444" s="144"/>
      <c r="T444" s="150"/>
      <c r="U444" s="145"/>
      <c r="V444" s="143"/>
      <c r="W444" s="143"/>
      <c r="X444" s="3"/>
      <c r="AB444" s="148"/>
      <c r="AC444" s="148"/>
    </row>
    <row r="445" spans="5:29" x14ac:dyDescent="0.25">
      <c r="E445" s="138"/>
      <c r="F445" s="173"/>
      <c r="G445" s="138"/>
      <c r="H445" s="115"/>
      <c r="I445" s="115"/>
      <c r="J445" s="115"/>
      <c r="K445" s="115"/>
      <c r="L445" s="115"/>
      <c r="M445" s="149"/>
      <c r="N445" s="149"/>
      <c r="O445" s="144"/>
      <c r="P445" s="143"/>
      <c r="Q445" s="144"/>
      <c r="R445" s="144"/>
      <c r="S445" s="144"/>
      <c r="T445" s="150"/>
      <c r="U445" s="145"/>
      <c r="V445" s="143"/>
      <c r="W445" s="143"/>
      <c r="X445" s="3"/>
      <c r="AB445" s="148"/>
      <c r="AC445" s="148"/>
    </row>
    <row r="446" spans="5:29" x14ac:dyDescent="0.25">
      <c r="E446" s="138"/>
      <c r="F446" s="173"/>
      <c r="G446" s="138"/>
      <c r="H446" s="115"/>
      <c r="I446" s="115"/>
      <c r="J446" s="115"/>
      <c r="K446" s="115"/>
      <c r="L446" s="115"/>
      <c r="M446" s="149"/>
      <c r="N446" s="149"/>
      <c r="O446" s="144"/>
      <c r="P446" s="143"/>
      <c r="Q446" s="144"/>
      <c r="R446" s="144"/>
      <c r="S446" s="144"/>
      <c r="T446" s="150"/>
      <c r="U446" s="145"/>
      <c r="V446" s="143"/>
      <c r="W446" s="143"/>
      <c r="X446" s="3"/>
      <c r="AB446" s="148"/>
      <c r="AC446" s="148"/>
    </row>
    <row r="447" spans="5:29" x14ac:dyDescent="0.25">
      <c r="E447" s="138"/>
      <c r="F447" s="173"/>
      <c r="G447" s="138"/>
      <c r="H447" s="115"/>
      <c r="I447" s="115"/>
      <c r="J447" s="115"/>
      <c r="K447" s="115"/>
      <c r="L447" s="115"/>
      <c r="M447" s="149"/>
      <c r="N447" s="149"/>
      <c r="O447" s="144"/>
      <c r="P447" s="143"/>
      <c r="Q447" s="144"/>
      <c r="R447" s="144"/>
      <c r="S447" s="144"/>
      <c r="T447" s="150"/>
      <c r="U447" s="145"/>
      <c r="V447" s="143"/>
      <c r="W447" s="143"/>
      <c r="X447" s="3"/>
      <c r="AB447" s="148"/>
      <c r="AC447" s="148"/>
    </row>
    <row r="448" spans="5:29" x14ac:dyDescent="0.25">
      <c r="E448" s="138"/>
      <c r="F448" s="173"/>
      <c r="G448" s="138"/>
      <c r="H448" s="115"/>
      <c r="I448" s="115"/>
      <c r="J448" s="115"/>
      <c r="K448" s="115"/>
      <c r="L448" s="115"/>
      <c r="M448" s="149"/>
      <c r="N448" s="149"/>
      <c r="O448" s="144"/>
      <c r="P448" s="143"/>
      <c r="Q448" s="144"/>
      <c r="R448" s="144"/>
      <c r="S448" s="144"/>
      <c r="T448" s="150"/>
      <c r="U448" s="145"/>
      <c r="V448" s="143"/>
      <c r="W448" s="143"/>
      <c r="X448" s="3"/>
      <c r="AB448" s="148"/>
      <c r="AC448" s="148"/>
    </row>
    <row r="449" spans="5:29" x14ac:dyDescent="0.25">
      <c r="E449" s="138"/>
      <c r="F449" s="173"/>
      <c r="G449" s="138"/>
      <c r="H449" s="115"/>
      <c r="I449" s="115"/>
      <c r="J449" s="115"/>
      <c r="K449" s="115"/>
      <c r="L449" s="115"/>
      <c r="M449" s="149"/>
      <c r="N449" s="149"/>
      <c r="O449" s="144"/>
      <c r="P449" s="143"/>
      <c r="Q449" s="144"/>
      <c r="R449" s="144"/>
      <c r="S449" s="144"/>
      <c r="T449" s="150"/>
      <c r="U449" s="145"/>
      <c r="V449" s="143"/>
      <c r="W449" s="143"/>
      <c r="X449" s="3"/>
      <c r="AB449" s="148"/>
      <c r="AC449" s="148"/>
    </row>
    <row r="450" spans="5:29" x14ac:dyDescent="0.25">
      <c r="E450" s="138"/>
      <c r="F450" s="173"/>
      <c r="G450" s="138"/>
      <c r="H450" s="115"/>
      <c r="I450" s="115"/>
      <c r="J450" s="115"/>
      <c r="K450" s="115"/>
      <c r="L450" s="115"/>
      <c r="M450" s="149"/>
      <c r="N450" s="149"/>
      <c r="O450" s="144"/>
      <c r="P450" s="143"/>
      <c r="Q450" s="144"/>
      <c r="R450" s="144"/>
      <c r="S450" s="144"/>
      <c r="T450" s="150"/>
      <c r="U450" s="145"/>
      <c r="V450" s="143"/>
      <c r="W450" s="143"/>
      <c r="X450" s="3"/>
      <c r="AB450" s="148"/>
      <c r="AC450" s="148"/>
    </row>
    <row r="451" spans="5:29" x14ac:dyDescent="0.25">
      <c r="E451" s="138"/>
      <c r="F451" s="173"/>
      <c r="G451" s="138"/>
      <c r="H451" s="115"/>
      <c r="I451" s="115"/>
      <c r="J451" s="115"/>
      <c r="K451" s="115"/>
      <c r="L451" s="115"/>
      <c r="M451" s="149"/>
      <c r="N451" s="149"/>
      <c r="O451" s="144"/>
      <c r="P451" s="143"/>
      <c r="Q451" s="144"/>
      <c r="R451" s="144"/>
      <c r="S451" s="144"/>
      <c r="T451" s="150"/>
      <c r="U451" s="145"/>
      <c r="V451" s="143"/>
      <c r="W451" s="143"/>
      <c r="X451" s="3"/>
      <c r="AB451" s="148"/>
      <c r="AC451" s="148"/>
    </row>
    <row r="452" spans="5:29" x14ac:dyDescent="0.25">
      <c r="E452" s="138"/>
      <c r="F452" s="173"/>
      <c r="G452" s="138"/>
      <c r="H452" s="115"/>
      <c r="I452" s="115"/>
      <c r="J452" s="115"/>
      <c r="K452" s="115"/>
      <c r="L452" s="115"/>
      <c r="M452" s="149"/>
      <c r="N452" s="149"/>
      <c r="O452" s="144"/>
      <c r="P452" s="143"/>
      <c r="Q452" s="144"/>
      <c r="R452" s="144"/>
      <c r="S452" s="144"/>
      <c r="T452" s="150"/>
      <c r="U452" s="145"/>
      <c r="V452" s="143"/>
      <c r="W452" s="143"/>
      <c r="X452" s="3"/>
      <c r="AB452" s="148"/>
      <c r="AC452" s="148"/>
    </row>
    <row r="453" spans="5:29" x14ac:dyDescent="0.25">
      <c r="E453" s="138"/>
      <c r="F453" s="173"/>
      <c r="G453" s="138"/>
      <c r="H453" s="115"/>
      <c r="I453" s="115"/>
      <c r="J453" s="115"/>
      <c r="K453" s="115"/>
      <c r="L453" s="115"/>
      <c r="M453" s="149"/>
      <c r="N453" s="149"/>
      <c r="O453" s="144"/>
      <c r="P453" s="143"/>
      <c r="Q453" s="144"/>
      <c r="R453" s="144"/>
      <c r="S453" s="144"/>
      <c r="T453" s="150"/>
      <c r="U453" s="145"/>
      <c r="V453" s="143"/>
      <c r="W453" s="143"/>
      <c r="X453" s="3"/>
      <c r="AB453" s="148"/>
      <c r="AC453" s="148"/>
    </row>
    <row r="454" spans="5:29" x14ac:dyDescent="0.25">
      <c r="E454" s="138"/>
      <c r="F454" s="173"/>
      <c r="G454" s="138"/>
      <c r="H454" s="115"/>
      <c r="I454" s="115"/>
      <c r="J454" s="115"/>
      <c r="K454" s="115"/>
      <c r="L454" s="115"/>
      <c r="M454" s="149"/>
      <c r="N454" s="149"/>
      <c r="O454" s="144"/>
      <c r="P454" s="143"/>
      <c r="Q454" s="144"/>
      <c r="R454" s="144"/>
      <c r="S454" s="144"/>
      <c r="T454" s="150"/>
      <c r="U454" s="145"/>
      <c r="V454" s="143"/>
      <c r="W454" s="143"/>
      <c r="X454" s="3"/>
      <c r="AB454" s="148"/>
      <c r="AC454" s="148"/>
    </row>
    <row r="455" spans="5:29" x14ac:dyDescent="0.25">
      <c r="E455" s="138"/>
      <c r="F455" s="173"/>
      <c r="G455" s="138"/>
      <c r="H455" s="115"/>
      <c r="I455" s="115"/>
      <c r="J455" s="115"/>
      <c r="K455" s="115"/>
      <c r="L455" s="115"/>
      <c r="M455" s="149"/>
      <c r="N455" s="149"/>
      <c r="O455" s="144"/>
      <c r="P455" s="143"/>
      <c r="Q455" s="144"/>
      <c r="R455" s="144"/>
      <c r="S455" s="144"/>
      <c r="T455" s="150"/>
      <c r="U455" s="145"/>
      <c r="V455" s="143"/>
      <c r="W455" s="143"/>
      <c r="X455" s="3"/>
      <c r="AB455" s="148"/>
      <c r="AC455" s="148"/>
    </row>
    <row r="456" spans="5:29" x14ac:dyDescent="0.25">
      <c r="E456" s="138"/>
      <c r="F456" s="173"/>
      <c r="G456" s="138"/>
      <c r="H456" s="115"/>
      <c r="I456" s="115"/>
      <c r="J456" s="115"/>
      <c r="K456" s="115"/>
      <c r="L456" s="115"/>
      <c r="M456" s="149"/>
      <c r="N456" s="149"/>
      <c r="O456" s="144"/>
      <c r="P456" s="143"/>
      <c r="Q456" s="144"/>
      <c r="R456" s="144"/>
      <c r="S456" s="144"/>
      <c r="T456" s="150"/>
      <c r="U456" s="145"/>
      <c r="V456" s="143"/>
      <c r="W456" s="143"/>
      <c r="X456" s="3"/>
      <c r="AB456" s="148"/>
      <c r="AC456" s="148"/>
    </row>
    <row r="457" spans="5:29" x14ac:dyDescent="0.25">
      <c r="E457" s="138"/>
      <c r="F457" s="173"/>
      <c r="G457" s="138"/>
      <c r="H457" s="115"/>
      <c r="I457" s="115"/>
      <c r="J457" s="115"/>
      <c r="K457" s="115"/>
      <c r="L457" s="115"/>
      <c r="M457" s="149"/>
      <c r="N457" s="149"/>
      <c r="O457" s="144"/>
      <c r="P457" s="143"/>
      <c r="Q457" s="144"/>
      <c r="R457" s="144"/>
      <c r="S457" s="144"/>
      <c r="T457" s="150"/>
      <c r="U457" s="145"/>
      <c r="V457" s="143"/>
      <c r="W457" s="143"/>
      <c r="X457" s="3"/>
      <c r="AB457" s="148"/>
      <c r="AC457" s="148"/>
    </row>
    <row r="458" spans="5:29" x14ac:dyDescent="0.25">
      <c r="E458" s="138"/>
      <c r="F458" s="173"/>
      <c r="G458" s="138"/>
      <c r="H458" s="115"/>
      <c r="I458" s="115"/>
      <c r="J458" s="115"/>
      <c r="K458" s="115"/>
      <c r="L458" s="115"/>
      <c r="M458" s="149"/>
      <c r="N458" s="149"/>
      <c r="O458" s="144"/>
      <c r="P458" s="143"/>
      <c r="Q458" s="144"/>
      <c r="R458" s="144"/>
      <c r="S458" s="144"/>
      <c r="T458" s="150"/>
      <c r="U458" s="145"/>
      <c r="V458" s="143"/>
      <c r="W458" s="143"/>
      <c r="X458" s="3"/>
      <c r="AB458" s="148"/>
      <c r="AC458" s="148"/>
    </row>
    <row r="459" spans="5:29" x14ac:dyDescent="0.25">
      <c r="E459" s="138"/>
      <c r="F459" s="173"/>
      <c r="G459" s="138"/>
      <c r="H459" s="115"/>
      <c r="I459" s="115"/>
      <c r="J459" s="115"/>
      <c r="K459" s="115"/>
      <c r="L459" s="115"/>
      <c r="M459" s="149"/>
      <c r="N459" s="149"/>
      <c r="O459" s="144"/>
      <c r="P459" s="143"/>
      <c r="Q459" s="144"/>
      <c r="R459" s="144"/>
      <c r="S459" s="144"/>
      <c r="T459" s="150"/>
      <c r="U459" s="145"/>
      <c r="V459" s="143"/>
      <c r="W459" s="143"/>
      <c r="X459" s="3"/>
      <c r="AB459" s="148"/>
      <c r="AC459" s="148"/>
    </row>
    <row r="460" spans="5:29" x14ac:dyDescent="0.25">
      <c r="E460" s="138"/>
      <c r="F460" s="173"/>
      <c r="G460" s="138"/>
      <c r="H460" s="115"/>
      <c r="I460" s="115"/>
      <c r="J460" s="115"/>
      <c r="K460" s="115"/>
      <c r="L460" s="115"/>
      <c r="M460" s="149"/>
      <c r="N460" s="149"/>
      <c r="O460" s="144"/>
      <c r="P460" s="143"/>
      <c r="Q460" s="144"/>
      <c r="R460" s="144"/>
      <c r="S460" s="144"/>
      <c r="T460" s="150"/>
      <c r="U460" s="145"/>
      <c r="V460" s="143"/>
      <c r="W460" s="143"/>
      <c r="X460" s="3"/>
      <c r="AB460" s="148"/>
      <c r="AC460" s="148"/>
    </row>
    <row r="461" spans="5:29" x14ac:dyDescent="0.25">
      <c r="E461" s="138"/>
      <c r="F461" s="173"/>
      <c r="G461" s="138"/>
      <c r="H461" s="115"/>
      <c r="I461" s="115"/>
      <c r="J461" s="115"/>
      <c r="K461" s="115"/>
      <c r="L461" s="115"/>
      <c r="M461" s="149"/>
      <c r="N461" s="149"/>
      <c r="O461" s="144"/>
      <c r="P461" s="143"/>
      <c r="Q461" s="144"/>
      <c r="R461" s="144"/>
      <c r="S461" s="144"/>
      <c r="T461" s="150"/>
      <c r="U461" s="145"/>
      <c r="V461" s="143"/>
      <c r="W461" s="143"/>
      <c r="X461" s="3"/>
      <c r="AB461" s="148"/>
      <c r="AC461" s="148"/>
    </row>
    <row r="462" spans="5:29" x14ac:dyDescent="0.25">
      <c r="E462" s="138"/>
      <c r="F462" s="173"/>
      <c r="G462" s="138"/>
      <c r="H462" s="115"/>
      <c r="I462" s="115"/>
      <c r="J462" s="115"/>
      <c r="K462" s="115"/>
      <c r="L462" s="115"/>
      <c r="M462" s="149"/>
      <c r="N462" s="149"/>
      <c r="O462" s="144"/>
      <c r="P462" s="143"/>
      <c r="Q462" s="144"/>
      <c r="R462" s="144"/>
      <c r="S462" s="144"/>
      <c r="T462" s="150"/>
      <c r="U462" s="145"/>
      <c r="V462" s="143"/>
      <c r="W462" s="143"/>
      <c r="X462" s="3"/>
      <c r="AB462" s="148"/>
      <c r="AC462" s="148"/>
    </row>
    <row r="463" spans="5:29" x14ac:dyDescent="0.25">
      <c r="E463" s="138"/>
      <c r="F463" s="173"/>
      <c r="G463" s="138"/>
      <c r="H463" s="115"/>
      <c r="I463" s="115"/>
      <c r="J463" s="115"/>
      <c r="K463" s="115"/>
      <c r="L463" s="115"/>
      <c r="M463" s="149"/>
      <c r="N463" s="149"/>
      <c r="O463" s="144"/>
      <c r="P463" s="143"/>
      <c r="Q463" s="144"/>
      <c r="R463" s="144"/>
      <c r="S463" s="144"/>
      <c r="T463" s="150"/>
      <c r="U463" s="145"/>
      <c r="V463" s="143"/>
      <c r="W463" s="143"/>
      <c r="X463" s="3"/>
      <c r="AB463" s="148"/>
      <c r="AC463" s="148"/>
    </row>
    <row r="464" spans="5:29" x14ac:dyDescent="0.25">
      <c r="E464" s="138"/>
      <c r="F464" s="173"/>
      <c r="G464" s="138"/>
      <c r="H464" s="115"/>
      <c r="I464" s="115"/>
      <c r="J464" s="115"/>
      <c r="K464" s="115"/>
      <c r="L464" s="115"/>
      <c r="M464" s="149"/>
      <c r="N464" s="149"/>
      <c r="O464" s="144"/>
      <c r="P464" s="143"/>
      <c r="Q464" s="144"/>
      <c r="R464" s="144"/>
      <c r="S464" s="144"/>
      <c r="T464" s="150"/>
      <c r="U464" s="145"/>
      <c r="V464" s="143"/>
      <c r="W464" s="143"/>
      <c r="X464" s="3"/>
      <c r="AB464" s="148"/>
      <c r="AC464" s="148"/>
    </row>
    <row r="465" spans="5:29" x14ac:dyDescent="0.25">
      <c r="E465" s="138"/>
      <c r="F465" s="173"/>
      <c r="G465" s="138"/>
      <c r="H465" s="115"/>
      <c r="I465" s="115"/>
      <c r="J465" s="115"/>
      <c r="K465" s="115"/>
      <c r="L465" s="115"/>
      <c r="M465" s="149"/>
      <c r="N465" s="149"/>
      <c r="O465" s="144"/>
      <c r="P465" s="143"/>
      <c r="Q465" s="144"/>
      <c r="R465" s="144"/>
      <c r="S465" s="144"/>
      <c r="T465" s="150"/>
      <c r="U465" s="145"/>
      <c r="V465" s="143"/>
      <c r="W465" s="143"/>
      <c r="X465" s="3"/>
      <c r="AB465" s="148"/>
      <c r="AC465" s="148"/>
    </row>
    <row r="466" spans="5:29" x14ac:dyDescent="0.25">
      <c r="E466" s="138"/>
      <c r="F466" s="173"/>
      <c r="G466" s="138"/>
      <c r="H466" s="115"/>
      <c r="I466" s="115"/>
      <c r="J466" s="115"/>
      <c r="K466" s="115"/>
      <c r="L466" s="115"/>
      <c r="M466" s="149"/>
      <c r="N466" s="149"/>
      <c r="O466" s="144"/>
      <c r="P466" s="143"/>
      <c r="Q466" s="144"/>
      <c r="R466" s="144"/>
      <c r="S466" s="144"/>
      <c r="T466" s="150"/>
      <c r="U466" s="145"/>
      <c r="V466" s="143"/>
      <c r="W466" s="143"/>
      <c r="X466" s="3"/>
      <c r="AB466" s="148"/>
      <c r="AC466" s="148"/>
    </row>
    <row r="467" spans="5:29" x14ac:dyDescent="0.25">
      <c r="E467" s="138"/>
      <c r="F467" s="173"/>
      <c r="G467" s="138"/>
      <c r="H467" s="115"/>
      <c r="I467" s="115"/>
      <c r="J467" s="115"/>
      <c r="K467" s="115"/>
      <c r="L467" s="115"/>
      <c r="M467" s="149"/>
      <c r="N467" s="149"/>
      <c r="O467" s="144"/>
      <c r="P467" s="143"/>
      <c r="Q467" s="144"/>
      <c r="R467" s="144"/>
      <c r="S467" s="144"/>
      <c r="T467" s="150"/>
      <c r="U467" s="145"/>
      <c r="V467" s="143"/>
      <c r="W467" s="143"/>
      <c r="X467" s="3"/>
      <c r="AB467" s="148"/>
      <c r="AC467" s="148"/>
    </row>
    <row r="468" spans="5:29" x14ac:dyDescent="0.25">
      <c r="E468" s="138"/>
      <c r="F468" s="173"/>
      <c r="G468" s="138"/>
      <c r="H468" s="115"/>
      <c r="I468" s="115"/>
      <c r="J468" s="115"/>
      <c r="K468" s="115"/>
      <c r="L468" s="115"/>
      <c r="M468" s="149"/>
      <c r="N468" s="149"/>
      <c r="O468" s="144"/>
      <c r="P468" s="143"/>
      <c r="Q468" s="144"/>
      <c r="R468" s="144"/>
      <c r="S468" s="144"/>
      <c r="T468" s="150"/>
      <c r="U468" s="145"/>
      <c r="V468" s="143"/>
      <c r="W468" s="143"/>
      <c r="X468" s="3"/>
      <c r="AB468" s="148"/>
      <c r="AC468" s="148"/>
    </row>
    <row r="469" spans="5:29" x14ac:dyDescent="0.25">
      <c r="E469" s="138"/>
      <c r="F469" s="173"/>
      <c r="G469" s="138"/>
      <c r="H469" s="115"/>
      <c r="I469" s="115"/>
      <c r="J469" s="115"/>
      <c r="K469" s="115"/>
      <c r="L469" s="115"/>
      <c r="M469" s="149"/>
      <c r="N469" s="149"/>
      <c r="O469" s="144"/>
      <c r="P469" s="143"/>
      <c r="Q469" s="144"/>
      <c r="R469" s="144"/>
      <c r="S469" s="144"/>
      <c r="T469" s="150"/>
      <c r="U469" s="145"/>
      <c r="V469" s="143"/>
      <c r="W469" s="143"/>
      <c r="X469" s="3"/>
      <c r="AB469" s="148"/>
      <c r="AC469" s="148"/>
    </row>
    <row r="470" spans="5:29" x14ac:dyDescent="0.25">
      <c r="E470" s="138"/>
      <c r="F470" s="173"/>
      <c r="G470" s="138"/>
      <c r="H470" s="115"/>
      <c r="I470" s="115"/>
      <c r="J470" s="115"/>
      <c r="K470" s="115"/>
      <c r="L470" s="115"/>
      <c r="M470" s="149"/>
      <c r="N470" s="149"/>
      <c r="O470" s="144"/>
      <c r="P470" s="143"/>
      <c r="Q470" s="144"/>
      <c r="R470" s="144"/>
      <c r="S470" s="144"/>
      <c r="T470" s="150"/>
      <c r="U470" s="145"/>
      <c r="V470" s="143"/>
      <c r="W470" s="143"/>
      <c r="X470" s="3"/>
      <c r="AB470" s="148"/>
      <c r="AC470" s="148"/>
    </row>
    <row r="471" spans="5:29" x14ac:dyDescent="0.25">
      <c r="E471" s="138"/>
      <c r="F471" s="173"/>
      <c r="G471" s="138"/>
      <c r="H471" s="115"/>
      <c r="I471" s="115"/>
      <c r="J471" s="115"/>
      <c r="K471" s="115"/>
      <c r="L471" s="115"/>
      <c r="M471" s="149"/>
      <c r="N471" s="149"/>
      <c r="O471" s="144"/>
      <c r="P471" s="143"/>
      <c r="Q471" s="144"/>
      <c r="R471" s="144"/>
      <c r="S471" s="144"/>
      <c r="T471" s="150"/>
      <c r="U471" s="145"/>
      <c r="V471" s="143"/>
      <c r="W471" s="143"/>
      <c r="X471" s="3"/>
      <c r="AB471" s="148"/>
      <c r="AC471" s="148"/>
    </row>
    <row r="472" spans="5:29" x14ac:dyDescent="0.25">
      <c r="E472" s="138"/>
      <c r="F472" s="173"/>
      <c r="G472" s="138"/>
      <c r="H472" s="115"/>
      <c r="I472" s="115"/>
      <c r="J472" s="115"/>
      <c r="K472" s="115"/>
      <c r="L472" s="115"/>
      <c r="M472" s="149"/>
      <c r="N472" s="149"/>
      <c r="O472" s="144"/>
      <c r="P472" s="143"/>
      <c r="Q472" s="144"/>
      <c r="R472" s="144"/>
      <c r="S472" s="144"/>
      <c r="T472" s="150"/>
      <c r="U472" s="145"/>
      <c r="V472" s="143"/>
      <c r="W472" s="143"/>
      <c r="X472" s="3"/>
      <c r="AB472" s="148"/>
      <c r="AC472" s="148"/>
    </row>
    <row r="473" spans="5:29" x14ac:dyDescent="0.25">
      <c r="E473" s="138"/>
      <c r="F473" s="173"/>
      <c r="G473" s="138"/>
      <c r="H473" s="115"/>
      <c r="I473" s="115"/>
      <c r="J473" s="115"/>
      <c r="K473" s="115"/>
      <c r="L473" s="115"/>
      <c r="M473" s="149"/>
      <c r="N473" s="149"/>
      <c r="O473" s="144"/>
      <c r="P473" s="143"/>
      <c r="Q473" s="144"/>
      <c r="R473" s="144"/>
      <c r="S473" s="144"/>
      <c r="T473" s="150"/>
      <c r="U473" s="145"/>
      <c r="V473" s="143"/>
      <c r="W473" s="143"/>
      <c r="X473" s="3"/>
      <c r="AB473" s="148"/>
      <c r="AC473" s="148"/>
    </row>
    <row r="474" spans="5:29" x14ac:dyDescent="0.25">
      <c r="E474" s="138"/>
      <c r="F474" s="173"/>
      <c r="G474" s="138"/>
      <c r="H474" s="115"/>
      <c r="I474" s="115"/>
      <c r="J474" s="115"/>
      <c r="K474" s="115"/>
      <c r="L474" s="115"/>
      <c r="M474" s="149"/>
      <c r="N474" s="149"/>
      <c r="O474" s="144"/>
      <c r="P474" s="143"/>
      <c r="Q474" s="144"/>
      <c r="R474" s="144"/>
      <c r="S474" s="144"/>
      <c r="T474" s="150"/>
      <c r="U474" s="145"/>
      <c r="V474" s="143"/>
      <c r="W474" s="143"/>
      <c r="X474" s="3"/>
      <c r="AB474" s="148"/>
      <c r="AC474" s="148"/>
    </row>
    <row r="475" spans="5:29" x14ac:dyDescent="0.25">
      <c r="E475" s="138"/>
      <c r="F475" s="173"/>
      <c r="G475" s="138"/>
      <c r="H475" s="115"/>
      <c r="I475" s="115"/>
      <c r="J475" s="115"/>
      <c r="K475" s="115"/>
      <c r="L475" s="115"/>
      <c r="M475" s="149"/>
      <c r="N475" s="149"/>
      <c r="O475" s="144"/>
      <c r="P475" s="143"/>
      <c r="Q475" s="144"/>
      <c r="R475" s="144"/>
      <c r="S475" s="144"/>
      <c r="T475" s="150"/>
      <c r="U475" s="145"/>
      <c r="V475" s="143"/>
      <c r="W475" s="143"/>
      <c r="X475" s="3"/>
      <c r="AB475" s="148"/>
      <c r="AC475" s="148"/>
    </row>
    <row r="476" spans="5:29" x14ac:dyDescent="0.25">
      <c r="E476" s="138"/>
      <c r="F476" s="173"/>
      <c r="G476" s="138"/>
      <c r="H476" s="115"/>
      <c r="I476" s="115"/>
      <c r="J476" s="115"/>
      <c r="K476" s="115"/>
      <c r="L476" s="115"/>
      <c r="M476" s="149"/>
      <c r="N476" s="149"/>
      <c r="O476" s="144"/>
      <c r="P476" s="143"/>
      <c r="Q476" s="144"/>
      <c r="R476" s="144"/>
      <c r="S476" s="144"/>
      <c r="T476" s="150"/>
      <c r="U476" s="145"/>
      <c r="V476" s="143"/>
      <c r="W476" s="143"/>
      <c r="X476" s="3"/>
      <c r="AB476" s="148"/>
      <c r="AC476" s="148"/>
    </row>
    <row r="477" spans="5:29" x14ac:dyDescent="0.25">
      <c r="E477" s="138"/>
      <c r="F477" s="173"/>
      <c r="G477" s="138"/>
      <c r="H477" s="115"/>
      <c r="I477" s="115"/>
      <c r="J477" s="115"/>
      <c r="K477" s="115"/>
      <c r="L477" s="115"/>
      <c r="M477" s="149"/>
      <c r="N477" s="149"/>
      <c r="O477" s="144"/>
      <c r="P477" s="143"/>
      <c r="Q477" s="144"/>
      <c r="R477" s="144"/>
      <c r="S477" s="144"/>
      <c r="T477" s="150"/>
      <c r="U477" s="145"/>
      <c r="V477" s="143"/>
      <c r="W477" s="143"/>
      <c r="X477" s="3"/>
      <c r="AB477" s="148"/>
      <c r="AC477" s="148"/>
    </row>
    <row r="478" spans="5:29" x14ac:dyDescent="0.25">
      <c r="E478" s="138"/>
      <c r="F478" s="173"/>
      <c r="G478" s="138"/>
      <c r="H478" s="115"/>
      <c r="I478" s="115"/>
      <c r="J478" s="115"/>
      <c r="K478" s="115"/>
      <c r="L478" s="115"/>
      <c r="M478" s="149"/>
      <c r="N478" s="149"/>
      <c r="O478" s="144"/>
      <c r="P478" s="143"/>
      <c r="Q478" s="144"/>
      <c r="R478" s="144"/>
      <c r="S478" s="144"/>
      <c r="T478" s="150"/>
      <c r="U478" s="145"/>
      <c r="V478" s="143"/>
      <c r="W478" s="143"/>
      <c r="X478" s="3"/>
      <c r="AB478" s="148"/>
      <c r="AC478" s="148"/>
    </row>
    <row r="479" spans="5:29" x14ac:dyDescent="0.25">
      <c r="E479" s="138"/>
      <c r="F479" s="173"/>
      <c r="G479" s="138"/>
      <c r="H479" s="115"/>
      <c r="I479" s="115"/>
      <c r="J479" s="115"/>
      <c r="K479" s="115"/>
      <c r="L479" s="115"/>
      <c r="M479" s="149"/>
      <c r="N479" s="149"/>
      <c r="O479" s="144"/>
      <c r="P479" s="143"/>
      <c r="Q479" s="144"/>
      <c r="R479" s="144"/>
      <c r="S479" s="144"/>
      <c r="T479" s="150"/>
      <c r="U479" s="145"/>
      <c r="V479" s="143"/>
      <c r="W479" s="143"/>
      <c r="X479" s="3"/>
      <c r="AB479" s="148"/>
      <c r="AC479" s="148"/>
    </row>
    <row r="480" spans="5:29" x14ac:dyDescent="0.25">
      <c r="E480" s="138"/>
      <c r="F480" s="173"/>
      <c r="G480" s="138"/>
      <c r="H480" s="115"/>
      <c r="I480" s="115"/>
      <c r="J480" s="115"/>
      <c r="K480" s="115"/>
      <c r="L480" s="115"/>
      <c r="M480" s="149"/>
      <c r="N480" s="149"/>
      <c r="O480" s="144"/>
      <c r="P480" s="143"/>
      <c r="Q480" s="144"/>
      <c r="R480" s="144"/>
      <c r="S480" s="144"/>
      <c r="T480" s="150"/>
      <c r="U480" s="145"/>
      <c r="V480" s="143"/>
      <c r="W480" s="143"/>
      <c r="X480" s="3"/>
      <c r="AB480" s="148"/>
      <c r="AC480" s="148"/>
    </row>
    <row r="481" spans="5:29" x14ac:dyDescent="0.25">
      <c r="E481" s="138"/>
      <c r="F481" s="173"/>
      <c r="G481" s="138"/>
      <c r="H481" s="115"/>
      <c r="I481" s="115"/>
      <c r="J481" s="115"/>
      <c r="K481" s="115"/>
      <c r="L481" s="115"/>
      <c r="M481" s="149"/>
      <c r="N481" s="149"/>
      <c r="O481" s="144"/>
      <c r="P481" s="143"/>
      <c r="Q481" s="144"/>
      <c r="R481" s="144"/>
      <c r="S481" s="144"/>
      <c r="T481" s="150"/>
      <c r="U481" s="145"/>
      <c r="V481" s="143"/>
      <c r="W481" s="143"/>
      <c r="X481" s="3"/>
      <c r="AB481" s="148"/>
      <c r="AC481" s="148"/>
    </row>
    <row r="482" spans="5:29" x14ac:dyDescent="0.25">
      <c r="E482" s="138"/>
      <c r="F482" s="173"/>
      <c r="G482" s="138"/>
      <c r="H482" s="115"/>
      <c r="I482" s="115"/>
      <c r="J482" s="115"/>
      <c r="K482" s="115"/>
      <c r="L482" s="115"/>
      <c r="M482" s="149"/>
      <c r="N482" s="149"/>
      <c r="O482" s="144"/>
      <c r="P482" s="143"/>
      <c r="Q482" s="144"/>
      <c r="R482" s="144"/>
      <c r="S482" s="144"/>
      <c r="T482" s="150"/>
      <c r="U482" s="145"/>
      <c r="V482" s="143"/>
      <c r="W482" s="143"/>
      <c r="X482" s="3"/>
      <c r="AB482" s="148"/>
      <c r="AC482" s="148"/>
    </row>
    <row r="483" spans="5:29" x14ac:dyDescent="0.25">
      <c r="E483" s="138"/>
      <c r="F483" s="173"/>
      <c r="G483" s="138"/>
      <c r="H483" s="115"/>
      <c r="I483" s="115"/>
      <c r="J483" s="115"/>
      <c r="K483" s="115"/>
      <c r="L483" s="115"/>
      <c r="M483" s="149"/>
      <c r="N483" s="149"/>
      <c r="O483" s="144"/>
      <c r="P483" s="143"/>
      <c r="Q483" s="144"/>
      <c r="R483" s="144"/>
      <c r="S483" s="144"/>
      <c r="T483" s="150"/>
      <c r="U483" s="145"/>
      <c r="V483" s="143"/>
      <c r="W483" s="143"/>
      <c r="X483" s="3"/>
      <c r="AB483" s="148"/>
      <c r="AC483" s="148"/>
    </row>
    <row r="484" spans="5:29" x14ac:dyDescent="0.25">
      <c r="E484" s="138"/>
      <c r="F484" s="173"/>
      <c r="G484" s="138"/>
      <c r="H484" s="115"/>
      <c r="I484" s="115"/>
      <c r="J484" s="115"/>
      <c r="K484" s="115"/>
      <c r="L484" s="115"/>
      <c r="M484" s="149"/>
      <c r="N484" s="149"/>
      <c r="O484" s="144"/>
      <c r="P484" s="143"/>
      <c r="Q484" s="144"/>
      <c r="R484" s="144"/>
      <c r="S484" s="144"/>
      <c r="T484" s="150"/>
      <c r="U484" s="145"/>
      <c r="V484" s="143"/>
      <c r="W484" s="143"/>
      <c r="X484" s="3"/>
      <c r="AB484" s="148"/>
      <c r="AC484" s="148"/>
    </row>
    <row r="485" spans="5:29" x14ac:dyDescent="0.25">
      <c r="E485" s="138"/>
      <c r="F485" s="173"/>
      <c r="G485" s="138"/>
      <c r="H485" s="115"/>
      <c r="I485" s="115"/>
      <c r="J485" s="115"/>
      <c r="K485" s="115"/>
      <c r="L485" s="115"/>
      <c r="M485" s="149"/>
      <c r="N485" s="149"/>
      <c r="O485" s="144"/>
      <c r="P485" s="143"/>
      <c r="Q485" s="144"/>
      <c r="R485" s="144"/>
      <c r="S485" s="144"/>
      <c r="T485" s="150"/>
      <c r="U485" s="145"/>
      <c r="V485" s="143"/>
      <c r="W485" s="143"/>
      <c r="X485" s="3"/>
      <c r="AB485" s="148"/>
      <c r="AC485" s="148"/>
    </row>
    <row r="486" spans="5:29" x14ac:dyDescent="0.25">
      <c r="E486" s="138"/>
      <c r="F486" s="173"/>
      <c r="G486" s="138"/>
      <c r="H486" s="115"/>
      <c r="I486" s="115"/>
      <c r="J486" s="115"/>
      <c r="K486" s="115"/>
      <c r="L486" s="115"/>
      <c r="M486" s="149"/>
      <c r="N486" s="149"/>
      <c r="O486" s="144"/>
      <c r="P486" s="143"/>
      <c r="Q486" s="144"/>
      <c r="R486" s="144"/>
      <c r="S486" s="144"/>
      <c r="T486" s="150"/>
      <c r="U486" s="145"/>
      <c r="V486" s="143"/>
      <c r="W486" s="143"/>
      <c r="X486" s="3"/>
      <c r="AB486" s="148"/>
      <c r="AC486" s="148"/>
    </row>
    <row r="487" spans="5:29" x14ac:dyDescent="0.25">
      <c r="E487" s="138"/>
      <c r="F487" s="173"/>
      <c r="G487" s="138"/>
      <c r="H487" s="115"/>
      <c r="I487" s="115"/>
      <c r="J487" s="115"/>
      <c r="K487" s="115"/>
      <c r="L487" s="115"/>
      <c r="M487" s="149"/>
      <c r="N487" s="149"/>
      <c r="O487" s="144"/>
      <c r="P487" s="143"/>
      <c r="Q487" s="144"/>
      <c r="R487" s="144"/>
      <c r="S487" s="144"/>
      <c r="T487" s="150"/>
      <c r="U487" s="145"/>
      <c r="V487" s="143"/>
      <c r="W487" s="143"/>
      <c r="X487" s="3"/>
      <c r="AB487" s="148"/>
      <c r="AC487" s="148"/>
    </row>
    <row r="488" spans="5:29" x14ac:dyDescent="0.25">
      <c r="E488" s="138"/>
      <c r="F488" s="173"/>
      <c r="G488" s="138"/>
      <c r="H488" s="115"/>
      <c r="I488" s="115"/>
      <c r="J488" s="115"/>
      <c r="K488" s="115"/>
      <c r="L488" s="115"/>
      <c r="M488" s="149"/>
      <c r="N488" s="149"/>
      <c r="O488" s="144"/>
      <c r="P488" s="143"/>
      <c r="Q488" s="144"/>
      <c r="R488" s="144"/>
      <c r="S488" s="144"/>
      <c r="T488" s="150"/>
      <c r="U488" s="145"/>
      <c r="V488" s="143"/>
      <c r="W488" s="143"/>
      <c r="X488" s="3"/>
      <c r="AB488" s="148"/>
      <c r="AC488" s="148"/>
    </row>
    <row r="489" spans="5:29" x14ac:dyDescent="0.25">
      <c r="E489" s="138"/>
      <c r="F489" s="173"/>
      <c r="G489" s="138"/>
      <c r="H489" s="115"/>
      <c r="I489" s="115"/>
      <c r="J489" s="115"/>
      <c r="K489" s="115"/>
      <c r="L489" s="115"/>
      <c r="M489" s="149"/>
      <c r="N489" s="149"/>
      <c r="O489" s="144"/>
      <c r="P489" s="143"/>
      <c r="Q489" s="144"/>
      <c r="R489" s="144"/>
      <c r="S489" s="144"/>
      <c r="T489" s="150"/>
      <c r="U489" s="145"/>
      <c r="V489" s="143"/>
      <c r="W489" s="143"/>
      <c r="X489" s="3"/>
      <c r="AB489" s="148"/>
      <c r="AC489" s="148"/>
    </row>
    <row r="490" spans="5:29" x14ac:dyDescent="0.25">
      <c r="E490" s="138"/>
      <c r="F490" s="173"/>
      <c r="G490" s="138"/>
      <c r="H490" s="115"/>
      <c r="I490" s="115"/>
      <c r="J490" s="115"/>
      <c r="K490" s="115"/>
      <c r="L490" s="115"/>
      <c r="M490" s="149"/>
      <c r="N490" s="149"/>
      <c r="O490" s="144"/>
      <c r="P490" s="143"/>
      <c r="Q490" s="144"/>
      <c r="R490" s="144"/>
      <c r="S490" s="144"/>
      <c r="T490" s="150"/>
      <c r="U490" s="145"/>
      <c r="V490" s="143"/>
      <c r="W490" s="143"/>
      <c r="X490" s="3"/>
      <c r="AB490" s="148"/>
      <c r="AC490" s="148"/>
    </row>
    <row r="491" spans="5:29" x14ac:dyDescent="0.25">
      <c r="E491" s="138"/>
      <c r="F491" s="173"/>
      <c r="G491" s="138"/>
      <c r="H491" s="115"/>
      <c r="I491" s="115"/>
      <c r="J491" s="115"/>
      <c r="K491" s="115"/>
      <c r="L491" s="115"/>
      <c r="M491" s="149"/>
      <c r="N491" s="149"/>
      <c r="O491" s="144"/>
      <c r="P491" s="143"/>
      <c r="Q491" s="144"/>
      <c r="R491" s="144"/>
      <c r="S491" s="144"/>
      <c r="T491" s="150"/>
      <c r="U491" s="145"/>
      <c r="V491" s="143"/>
      <c r="W491" s="143"/>
      <c r="X491" s="3"/>
      <c r="AB491" s="148"/>
      <c r="AC491" s="148"/>
    </row>
    <row r="492" spans="5:29" x14ac:dyDescent="0.25">
      <c r="E492" s="138"/>
      <c r="F492" s="173"/>
      <c r="G492" s="138"/>
      <c r="H492" s="115"/>
      <c r="I492" s="115"/>
      <c r="J492" s="115"/>
      <c r="K492" s="115"/>
      <c r="L492" s="115"/>
      <c r="M492" s="149"/>
      <c r="N492" s="149"/>
      <c r="O492" s="144"/>
      <c r="P492" s="143"/>
      <c r="Q492" s="144"/>
      <c r="R492" s="144"/>
      <c r="S492" s="144"/>
      <c r="T492" s="150"/>
      <c r="U492" s="145"/>
      <c r="V492" s="143"/>
      <c r="W492" s="143"/>
      <c r="X492" s="3"/>
      <c r="AB492" s="148"/>
      <c r="AC492" s="148"/>
    </row>
    <row r="493" spans="5:29" x14ac:dyDescent="0.25">
      <c r="E493" s="138"/>
      <c r="F493" s="173"/>
      <c r="G493" s="138"/>
      <c r="H493" s="115"/>
      <c r="I493" s="115"/>
      <c r="J493" s="115"/>
      <c r="K493" s="115"/>
      <c r="L493" s="115"/>
      <c r="M493" s="149"/>
      <c r="N493" s="149"/>
      <c r="O493" s="144"/>
      <c r="P493" s="143"/>
      <c r="Q493" s="144"/>
      <c r="R493" s="144"/>
      <c r="S493" s="144"/>
      <c r="T493" s="150"/>
      <c r="U493" s="145"/>
      <c r="V493" s="143"/>
      <c r="W493" s="143"/>
      <c r="X493" s="3"/>
      <c r="AB493" s="148"/>
      <c r="AC493" s="148"/>
    </row>
    <row r="494" spans="5:29" x14ac:dyDescent="0.25">
      <c r="E494" s="138"/>
      <c r="F494" s="173"/>
      <c r="G494" s="138"/>
      <c r="H494" s="115"/>
      <c r="I494" s="115"/>
      <c r="J494" s="115"/>
      <c r="K494" s="115"/>
      <c r="L494" s="115"/>
      <c r="M494" s="149"/>
      <c r="N494" s="149"/>
      <c r="O494" s="144"/>
      <c r="P494" s="143"/>
      <c r="Q494" s="144"/>
      <c r="R494" s="144"/>
      <c r="S494" s="144"/>
      <c r="T494" s="150"/>
      <c r="U494" s="145"/>
      <c r="V494" s="143"/>
      <c r="W494" s="143"/>
      <c r="X494" s="3"/>
      <c r="AB494" s="148"/>
      <c r="AC494" s="148"/>
    </row>
    <row r="495" spans="5:29" x14ac:dyDescent="0.25">
      <c r="E495" s="138"/>
      <c r="F495" s="173"/>
      <c r="G495" s="138"/>
      <c r="H495" s="115"/>
      <c r="I495" s="115"/>
      <c r="J495" s="115"/>
      <c r="K495" s="115"/>
      <c r="L495" s="115"/>
      <c r="M495" s="149"/>
      <c r="N495" s="149"/>
      <c r="O495" s="144"/>
      <c r="P495" s="143"/>
      <c r="Q495" s="144"/>
      <c r="R495" s="144"/>
      <c r="S495" s="144"/>
      <c r="T495" s="150"/>
      <c r="U495" s="145"/>
      <c r="V495" s="143"/>
      <c r="W495" s="143"/>
      <c r="X495" s="3"/>
      <c r="AB495" s="148"/>
      <c r="AC495" s="148"/>
    </row>
    <row r="496" spans="5:29" x14ac:dyDescent="0.25">
      <c r="E496" s="138"/>
      <c r="F496" s="173"/>
      <c r="G496" s="138"/>
      <c r="H496" s="115"/>
      <c r="I496" s="115"/>
      <c r="J496" s="115"/>
      <c r="K496" s="115"/>
      <c r="L496" s="115"/>
      <c r="M496" s="149"/>
      <c r="N496" s="149"/>
      <c r="O496" s="144"/>
      <c r="P496" s="143"/>
      <c r="Q496" s="144"/>
      <c r="R496" s="144"/>
      <c r="S496" s="144"/>
      <c r="T496" s="150"/>
      <c r="U496" s="145"/>
      <c r="V496" s="143"/>
      <c r="W496" s="143"/>
      <c r="X496" s="3"/>
      <c r="AB496" s="148"/>
      <c r="AC496" s="148"/>
    </row>
    <row r="497" spans="5:29" x14ac:dyDescent="0.25">
      <c r="E497" s="138"/>
      <c r="F497" s="173"/>
      <c r="G497" s="138"/>
      <c r="H497" s="115"/>
      <c r="I497" s="115"/>
      <c r="J497" s="115"/>
      <c r="K497" s="115"/>
      <c r="L497" s="115"/>
      <c r="M497" s="149"/>
      <c r="N497" s="149"/>
      <c r="O497" s="144"/>
      <c r="P497" s="143"/>
      <c r="Q497" s="144"/>
      <c r="R497" s="144"/>
      <c r="S497" s="144"/>
      <c r="T497" s="150"/>
      <c r="U497" s="145"/>
      <c r="V497" s="143"/>
      <c r="W497" s="143"/>
      <c r="X497" s="3"/>
      <c r="AB497" s="148"/>
      <c r="AC497" s="148"/>
    </row>
    <row r="498" spans="5:29" x14ac:dyDescent="0.25">
      <c r="E498" s="138"/>
      <c r="F498" s="173"/>
      <c r="G498" s="138"/>
      <c r="H498" s="115"/>
      <c r="I498" s="115"/>
      <c r="J498" s="115"/>
      <c r="K498" s="115"/>
      <c r="L498" s="115"/>
      <c r="M498" s="149"/>
      <c r="N498" s="149"/>
      <c r="O498" s="144"/>
      <c r="P498" s="143"/>
      <c r="Q498" s="144"/>
      <c r="R498" s="144"/>
      <c r="S498" s="144"/>
      <c r="T498" s="150"/>
      <c r="U498" s="145"/>
      <c r="V498" s="143"/>
      <c r="W498" s="143"/>
      <c r="X498" s="3"/>
      <c r="AB498" s="148"/>
      <c r="AC498" s="148"/>
    </row>
    <row r="499" spans="5:29" x14ac:dyDescent="0.25">
      <c r="E499" s="138"/>
      <c r="F499" s="173"/>
      <c r="G499" s="138"/>
      <c r="H499" s="115"/>
      <c r="I499" s="115"/>
      <c r="J499" s="115"/>
      <c r="K499" s="115"/>
      <c r="L499" s="115"/>
      <c r="M499" s="149"/>
      <c r="N499" s="149"/>
      <c r="O499" s="144"/>
      <c r="P499" s="143"/>
      <c r="Q499" s="144"/>
      <c r="R499" s="144"/>
      <c r="S499" s="144"/>
      <c r="T499" s="150"/>
      <c r="U499" s="145"/>
      <c r="V499" s="143"/>
      <c r="W499" s="143"/>
      <c r="X499" s="3"/>
      <c r="AB499" s="148"/>
      <c r="AC499" s="148"/>
    </row>
    <row r="500" spans="5:29" x14ac:dyDescent="0.25">
      <c r="E500" s="138"/>
      <c r="F500" s="173"/>
      <c r="G500" s="138"/>
      <c r="H500" s="115"/>
      <c r="I500" s="115"/>
      <c r="J500" s="115"/>
      <c r="K500" s="115"/>
      <c r="L500" s="115"/>
      <c r="M500" s="149"/>
      <c r="N500" s="149"/>
      <c r="O500" s="144"/>
      <c r="P500" s="143"/>
      <c r="Q500" s="144"/>
      <c r="R500" s="144"/>
      <c r="S500" s="144"/>
      <c r="T500" s="150"/>
      <c r="U500" s="145"/>
      <c r="V500" s="143"/>
      <c r="W500" s="143"/>
      <c r="X500" s="3"/>
      <c r="AB500" s="148"/>
      <c r="AC500" s="148"/>
    </row>
    <row r="501" spans="5:29" x14ac:dyDescent="0.25">
      <c r="E501" s="138"/>
      <c r="F501" s="173"/>
      <c r="G501" s="138"/>
      <c r="H501" s="115"/>
      <c r="I501" s="115"/>
      <c r="J501" s="115"/>
      <c r="K501" s="115"/>
      <c r="L501" s="115"/>
      <c r="M501" s="149"/>
      <c r="N501" s="149"/>
      <c r="O501" s="144"/>
      <c r="P501" s="143"/>
      <c r="Q501" s="144"/>
      <c r="R501" s="144"/>
      <c r="S501" s="144"/>
      <c r="T501" s="150"/>
      <c r="U501" s="145"/>
      <c r="V501" s="143"/>
      <c r="W501" s="143"/>
      <c r="X501" s="3"/>
      <c r="AB501" s="148"/>
      <c r="AC501" s="148"/>
    </row>
    <row r="502" spans="5:29" x14ac:dyDescent="0.25">
      <c r="E502" s="138"/>
      <c r="F502" s="173"/>
      <c r="G502" s="138"/>
      <c r="H502" s="115"/>
      <c r="I502" s="115"/>
      <c r="J502" s="115"/>
      <c r="K502" s="115"/>
      <c r="L502" s="115"/>
      <c r="M502" s="149"/>
      <c r="N502" s="149"/>
      <c r="O502" s="144"/>
      <c r="P502" s="143"/>
      <c r="Q502" s="144"/>
      <c r="R502" s="144"/>
      <c r="S502" s="144"/>
      <c r="T502" s="150"/>
      <c r="U502" s="145"/>
      <c r="V502" s="143"/>
      <c r="W502" s="143"/>
      <c r="X502" s="3"/>
      <c r="AB502" s="148"/>
      <c r="AC502" s="148"/>
    </row>
    <row r="503" spans="5:29" x14ac:dyDescent="0.25">
      <c r="E503" s="138"/>
      <c r="F503" s="173"/>
      <c r="G503" s="138"/>
      <c r="H503" s="115"/>
      <c r="I503" s="115"/>
      <c r="J503" s="115"/>
      <c r="K503" s="115"/>
      <c r="L503" s="115"/>
      <c r="M503" s="149"/>
      <c r="N503" s="149"/>
      <c r="O503" s="144"/>
      <c r="P503" s="143"/>
      <c r="Q503" s="144"/>
      <c r="R503" s="144"/>
      <c r="S503" s="144"/>
      <c r="T503" s="150"/>
      <c r="U503" s="145"/>
      <c r="V503" s="143"/>
      <c r="W503" s="143"/>
      <c r="X503" s="3"/>
      <c r="AB503" s="148"/>
      <c r="AC503" s="148"/>
    </row>
    <row r="504" spans="5:29" x14ac:dyDescent="0.25">
      <c r="E504" s="138"/>
      <c r="F504" s="173"/>
      <c r="G504" s="138"/>
      <c r="H504" s="115"/>
      <c r="I504" s="115"/>
      <c r="J504" s="115"/>
      <c r="K504" s="115"/>
      <c r="L504" s="115"/>
      <c r="M504" s="149"/>
      <c r="N504" s="149"/>
      <c r="O504" s="144"/>
      <c r="P504" s="143"/>
      <c r="Q504" s="144"/>
      <c r="R504" s="144"/>
      <c r="S504" s="144"/>
      <c r="T504" s="150"/>
      <c r="U504" s="145"/>
      <c r="V504" s="143"/>
      <c r="W504" s="143"/>
      <c r="X504" s="3"/>
      <c r="AB504" s="148"/>
      <c r="AC504" s="148"/>
    </row>
    <row r="505" spans="5:29" x14ac:dyDescent="0.25">
      <c r="E505" s="138"/>
      <c r="F505" s="173"/>
      <c r="G505" s="138"/>
      <c r="H505" s="115"/>
      <c r="I505" s="115"/>
      <c r="J505" s="115"/>
      <c r="K505" s="115"/>
      <c r="L505" s="115"/>
      <c r="M505" s="149"/>
      <c r="N505" s="149"/>
      <c r="O505" s="144"/>
      <c r="P505" s="143"/>
      <c r="Q505" s="144"/>
      <c r="R505" s="144"/>
      <c r="S505" s="144"/>
      <c r="T505" s="150"/>
      <c r="U505" s="145"/>
      <c r="V505" s="143"/>
      <c r="W505" s="143"/>
      <c r="X505" s="3"/>
      <c r="AB505" s="148"/>
      <c r="AC505" s="148"/>
    </row>
    <row r="506" spans="5:29" x14ac:dyDescent="0.25">
      <c r="E506" s="138"/>
      <c r="F506" s="173"/>
      <c r="G506" s="138"/>
      <c r="H506" s="115"/>
      <c r="I506" s="115"/>
      <c r="J506" s="115"/>
      <c r="K506" s="115"/>
      <c r="L506" s="115"/>
      <c r="M506" s="149"/>
      <c r="N506" s="149"/>
      <c r="O506" s="144"/>
      <c r="P506" s="143"/>
      <c r="Q506" s="144"/>
      <c r="R506" s="144"/>
      <c r="S506" s="144"/>
      <c r="T506" s="150"/>
      <c r="U506" s="145"/>
      <c r="V506" s="143"/>
      <c r="W506" s="143"/>
      <c r="X506" s="3"/>
      <c r="AB506" s="148"/>
      <c r="AC506" s="148"/>
    </row>
    <row r="507" spans="5:29" x14ac:dyDescent="0.25">
      <c r="E507" s="138"/>
      <c r="F507" s="173"/>
      <c r="G507" s="138"/>
      <c r="H507" s="115"/>
      <c r="I507" s="115"/>
      <c r="J507" s="115"/>
      <c r="K507" s="115"/>
      <c r="L507" s="115"/>
      <c r="M507" s="149"/>
      <c r="N507" s="149"/>
      <c r="O507" s="144"/>
      <c r="P507" s="143"/>
      <c r="Q507" s="144"/>
      <c r="R507" s="144"/>
      <c r="S507" s="144"/>
      <c r="T507" s="150"/>
      <c r="U507" s="145"/>
      <c r="V507" s="143"/>
      <c r="W507" s="143"/>
      <c r="X507" s="3"/>
      <c r="AB507" s="148"/>
      <c r="AC507" s="148"/>
    </row>
    <row r="508" spans="5:29" x14ac:dyDescent="0.25">
      <c r="E508" s="138"/>
      <c r="F508" s="173"/>
      <c r="G508" s="138"/>
      <c r="H508" s="115"/>
      <c r="I508" s="115"/>
      <c r="J508" s="115"/>
      <c r="K508" s="115"/>
      <c r="L508" s="115"/>
      <c r="M508" s="149"/>
      <c r="N508" s="149"/>
      <c r="O508" s="144"/>
      <c r="P508" s="143"/>
      <c r="Q508" s="144"/>
      <c r="R508" s="144"/>
      <c r="S508" s="144"/>
      <c r="T508" s="150"/>
      <c r="U508" s="145"/>
      <c r="V508" s="143"/>
      <c r="W508" s="143"/>
      <c r="X508" s="3"/>
      <c r="AB508" s="148"/>
      <c r="AC508" s="148"/>
    </row>
    <row r="509" spans="5:29" x14ac:dyDescent="0.25">
      <c r="E509" s="138"/>
      <c r="F509" s="173"/>
      <c r="G509" s="138"/>
      <c r="H509" s="115"/>
      <c r="I509" s="115"/>
      <c r="J509" s="115"/>
      <c r="K509" s="115"/>
      <c r="L509" s="115"/>
      <c r="M509" s="149"/>
      <c r="N509" s="149"/>
      <c r="O509" s="144"/>
      <c r="P509" s="143"/>
      <c r="Q509" s="144"/>
      <c r="R509" s="144"/>
      <c r="S509" s="144"/>
      <c r="T509" s="150"/>
      <c r="U509" s="145"/>
      <c r="V509" s="143"/>
      <c r="W509" s="143"/>
      <c r="X509" s="3"/>
      <c r="AB509" s="148"/>
      <c r="AC509" s="148"/>
    </row>
    <row r="510" spans="5:29" x14ac:dyDescent="0.25">
      <c r="E510" s="138"/>
      <c r="F510" s="173"/>
      <c r="G510" s="138"/>
      <c r="H510" s="115"/>
      <c r="I510" s="115"/>
      <c r="J510" s="115"/>
      <c r="K510" s="115"/>
      <c r="L510" s="115"/>
      <c r="M510" s="149"/>
      <c r="N510" s="149"/>
      <c r="O510" s="144"/>
      <c r="P510" s="143"/>
      <c r="Q510" s="144"/>
      <c r="R510" s="144"/>
      <c r="S510" s="144"/>
      <c r="T510" s="150"/>
      <c r="U510" s="145"/>
      <c r="V510" s="143"/>
      <c r="W510" s="143"/>
      <c r="X510" s="3"/>
      <c r="AB510" s="148"/>
      <c r="AC510" s="148"/>
    </row>
    <row r="511" spans="5:29" x14ac:dyDescent="0.25">
      <c r="E511" s="138"/>
      <c r="F511" s="173"/>
      <c r="G511" s="138"/>
      <c r="H511" s="115"/>
      <c r="I511" s="115"/>
      <c r="J511" s="115"/>
      <c r="K511" s="115"/>
      <c r="L511" s="115"/>
      <c r="M511" s="149"/>
      <c r="N511" s="149"/>
      <c r="O511" s="144"/>
      <c r="P511" s="143"/>
      <c r="Q511" s="144"/>
      <c r="R511" s="144"/>
      <c r="S511" s="144"/>
      <c r="T511" s="150"/>
      <c r="U511" s="145"/>
      <c r="V511" s="143"/>
      <c r="W511" s="143"/>
      <c r="X511" s="3"/>
      <c r="AB511" s="148"/>
      <c r="AC511" s="148"/>
    </row>
    <row r="512" spans="5:29" x14ac:dyDescent="0.25">
      <c r="E512" s="138"/>
      <c r="F512" s="173"/>
      <c r="G512" s="138"/>
      <c r="H512" s="115"/>
      <c r="I512" s="115"/>
      <c r="J512" s="115"/>
      <c r="K512" s="115"/>
      <c r="L512" s="115"/>
      <c r="M512" s="149"/>
      <c r="N512" s="149"/>
      <c r="O512" s="144"/>
      <c r="P512" s="143"/>
      <c r="Q512" s="144"/>
      <c r="R512" s="144"/>
      <c r="S512" s="144"/>
      <c r="T512" s="150"/>
      <c r="U512" s="145"/>
      <c r="V512" s="143"/>
      <c r="W512" s="143"/>
      <c r="X512" s="3"/>
      <c r="AB512" s="148"/>
      <c r="AC512" s="148"/>
    </row>
    <row r="513" spans="5:29" x14ac:dyDescent="0.25">
      <c r="E513" s="138"/>
      <c r="F513" s="173"/>
      <c r="G513" s="138"/>
      <c r="H513" s="115"/>
      <c r="I513" s="115"/>
      <c r="J513" s="115"/>
      <c r="K513" s="115"/>
      <c r="L513" s="115"/>
      <c r="M513" s="149"/>
      <c r="N513" s="149"/>
      <c r="O513" s="144"/>
      <c r="P513" s="143"/>
      <c r="Q513" s="144"/>
      <c r="R513" s="144"/>
      <c r="S513" s="144"/>
      <c r="T513" s="150"/>
      <c r="U513" s="145"/>
      <c r="V513" s="143"/>
      <c r="W513" s="143"/>
      <c r="X513" s="3"/>
      <c r="AB513" s="148"/>
      <c r="AC513" s="148"/>
    </row>
    <row r="514" spans="5:29" x14ac:dyDescent="0.25">
      <c r="E514" s="138"/>
      <c r="F514" s="173"/>
      <c r="G514" s="138"/>
      <c r="H514" s="115"/>
      <c r="I514" s="115"/>
      <c r="J514" s="115"/>
      <c r="K514" s="115"/>
      <c r="L514" s="115"/>
      <c r="M514" s="149"/>
      <c r="N514" s="149"/>
      <c r="O514" s="144"/>
      <c r="P514" s="143"/>
      <c r="Q514" s="144"/>
      <c r="R514" s="144"/>
      <c r="S514" s="144"/>
      <c r="T514" s="150"/>
      <c r="U514" s="145"/>
      <c r="V514" s="143"/>
      <c r="W514" s="143"/>
      <c r="X514" s="3"/>
      <c r="AB514" s="148"/>
      <c r="AC514" s="148"/>
    </row>
    <row r="515" spans="5:29" x14ac:dyDescent="0.25">
      <c r="E515" s="138"/>
      <c r="F515" s="173"/>
      <c r="G515" s="138"/>
      <c r="H515" s="115"/>
      <c r="I515" s="115"/>
      <c r="J515" s="115"/>
      <c r="K515" s="115"/>
      <c r="L515" s="115"/>
      <c r="M515" s="149"/>
      <c r="N515" s="149"/>
      <c r="O515" s="144"/>
      <c r="P515" s="143"/>
      <c r="Q515" s="144"/>
      <c r="R515" s="144"/>
      <c r="S515" s="144"/>
      <c r="T515" s="150"/>
      <c r="U515" s="145"/>
      <c r="V515" s="143"/>
      <c r="W515" s="143"/>
      <c r="X515" s="3"/>
      <c r="AB515" s="148"/>
      <c r="AC515" s="148"/>
    </row>
    <row r="516" spans="5:29" x14ac:dyDescent="0.25">
      <c r="E516" s="138"/>
      <c r="F516" s="173"/>
      <c r="G516" s="138"/>
      <c r="H516" s="115"/>
      <c r="I516" s="115"/>
      <c r="J516" s="115"/>
      <c r="K516" s="115"/>
      <c r="L516" s="115"/>
      <c r="M516" s="149"/>
      <c r="N516" s="149"/>
      <c r="O516" s="144"/>
      <c r="P516" s="143"/>
      <c r="Q516" s="144"/>
      <c r="R516" s="144"/>
      <c r="S516" s="144"/>
      <c r="T516" s="150"/>
      <c r="U516" s="145"/>
      <c r="V516" s="143"/>
      <c r="W516" s="143"/>
      <c r="X516" s="3"/>
      <c r="AB516" s="148"/>
      <c r="AC516" s="148"/>
    </row>
    <row r="517" spans="5:29" x14ac:dyDescent="0.25">
      <c r="E517" s="138"/>
      <c r="F517" s="173"/>
      <c r="G517" s="138"/>
      <c r="H517" s="115"/>
      <c r="I517" s="115"/>
      <c r="J517" s="115"/>
      <c r="K517" s="115"/>
      <c r="L517" s="115"/>
      <c r="M517" s="149"/>
      <c r="N517" s="149"/>
      <c r="O517" s="144"/>
      <c r="P517" s="143"/>
      <c r="Q517" s="144"/>
      <c r="R517" s="144"/>
      <c r="S517" s="144"/>
      <c r="T517" s="150"/>
      <c r="U517" s="145"/>
      <c r="V517" s="143"/>
      <c r="W517" s="143"/>
      <c r="X517" s="3"/>
      <c r="AB517" s="148"/>
      <c r="AC517" s="148"/>
    </row>
    <row r="518" spans="5:29" x14ac:dyDescent="0.25">
      <c r="E518" s="138"/>
      <c r="F518" s="173"/>
      <c r="G518" s="138"/>
      <c r="H518" s="115"/>
      <c r="I518" s="115"/>
      <c r="J518" s="115"/>
      <c r="K518" s="115"/>
      <c r="L518" s="115"/>
      <c r="M518" s="149"/>
      <c r="N518" s="149"/>
      <c r="O518" s="144"/>
      <c r="P518" s="143"/>
      <c r="Q518" s="144"/>
      <c r="R518" s="144"/>
      <c r="S518" s="144"/>
      <c r="T518" s="150"/>
      <c r="U518" s="145"/>
      <c r="V518" s="143"/>
      <c r="W518" s="143"/>
      <c r="X518" s="3"/>
      <c r="AB518" s="148"/>
      <c r="AC518" s="148"/>
    </row>
    <row r="519" spans="5:29" x14ac:dyDescent="0.25">
      <c r="E519" s="138"/>
      <c r="F519" s="173"/>
      <c r="G519" s="138"/>
      <c r="H519" s="115"/>
      <c r="I519" s="115"/>
      <c r="J519" s="115"/>
      <c r="K519" s="115"/>
      <c r="L519" s="115"/>
      <c r="M519" s="149"/>
      <c r="N519" s="149"/>
      <c r="O519" s="144"/>
      <c r="P519" s="143"/>
      <c r="Q519" s="144"/>
      <c r="R519" s="144"/>
      <c r="S519" s="144"/>
      <c r="T519" s="150"/>
      <c r="U519" s="145"/>
      <c r="V519" s="143"/>
      <c r="W519" s="143"/>
      <c r="X519" s="3"/>
      <c r="AB519" s="148"/>
      <c r="AC519" s="148"/>
    </row>
    <row r="520" spans="5:29" x14ac:dyDescent="0.25">
      <c r="E520" s="138"/>
      <c r="F520" s="173"/>
      <c r="G520" s="138"/>
      <c r="H520" s="115"/>
      <c r="I520" s="115"/>
      <c r="J520" s="115"/>
      <c r="K520" s="115"/>
      <c r="L520" s="115"/>
      <c r="M520" s="149"/>
      <c r="N520" s="149"/>
      <c r="O520" s="144"/>
      <c r="P520" s="143"/>
      <c r="Q520" s="144"/>
      <c r="R520" s="144"/>
      <c r="S520" s="144"/>
      <c r="T520" s="150"/>
      <c r="U520" s="145"/>
      <c r="V520" s="143"/>
      <c r="W520" s="143"/>
      <c r="X520" s="3"/>
      <c r="AB520" s="148"/>
      <c r="AC520" s="148"/>
    </row>
    <row r="521" spans="5:29" x14ac:dyDescent="0.25">
      <c r="E521" s="138"/>
      <c r="F521" s="173"/>
      <c r="G521" s="138"/>
      <c r="H521" s="115"/>
      <c r="I521" s="115"/>
      <c r="J521" s="115"/>
      <c r="K521" s="115"/>
      <c r="L521" s="115"/>
      <c r="M521" s="149"/>
      <c r="N521" s="149"/>
      <c r="O521" s="144"/>
      <c r="P521" s="143"/>
      <c r="Q521" s="144"/>
      <c r="R521" s="144"/>
      <c r="S521" s="144"/>
      <c r="T521" s="150"/>
      <c r="U521" s="145"/>
      <c r="V521" s="143"/>
      <c r="W521" s="143"/>
      <c r="X521" s="3"/>
      <c r="AB521" s="148"/>
      <c r="AC521" s="148"/>
    </row>
    <row r="522" spans="5:29" x14ac:dyDescent="0.25">
      <c r="E522" s="138"/>
      <c r="F522" s="173"/>
      <c r="G522" s="138"/>
      <c r="H522" s="115"/>
      <c r="I522" s="115"/>
      <c r="J522" s="115"/>
      <c r="K522" s="115"/>
      <c r="L522" s="115"/>
      <c r="M522" s="149"/>
      <c r="N522" s="149"/>
      <c r="O522" s="144"/>
      <c r="P522" s="143"/>
      <c r="Q522" s="144"/>
      <c r="R522" s="144"/>
      <c r="S522" s="144"/>
      <c r="T522" s="150"/>
      <c r="U522" s="145"/>
      <c r="V522" s="143"/>
      <c r="W522" s="143"/>
      <c r="X522" s="3"/>
      <c r="AB522" s="148"/>
      <c r="AC522" s="148"/>
    </row>
    <row r="523" spans="5:29" x14ac:dyDescent="0.25">
      <c r="E523" s="138"/>
      <c r="F523" s="173"/>
      <c r="G523" s="138"/>
      <c r="H523" s="115"/>
      <c r="I523" s="115"/>
      <c r="J523" s="115"/>
      <c r="K523" s="115"/>
      <c r="L523" s="115"/>
      <c r="M523" s="149"/>
      <c r="N523" s="149"/>
      <c r="O523" s="144"/>
      <c r="P523" s="143"/>
      <c r="Q523" s="144"/>
      <c r="R523" s="144"/>
      <c r="S523" s="144"/>
      <c r="T523" s="150"/>
      <c r="U523" s="145"/>
      <c r="V523" s="143"/>
      <c r="W523" s="143"/>
      <c r="X523" s="3"/>
      <c r="AB523" s="148"/>
      <c r="AC523" s="148"/>
    </row>
    <row r="524" spans="5:29" x14ac:dyDescent="0.25">
      <c r="E524" s="138"/>
      <c r="F524" s="173"/>
      <c r="G524" s="138"/>
      <c r="H524" s="115"/>
      <c r="I524" s="115"/>
      <c r="J524" s="115"/>
      <c r="K524" s="115"/>
      <c r="L524" s="115"/>
      <c r="M524" s="149"/>
      <c r="N524" s="149"/>
      <c r="O524" s="144"/>
      <c r="P524" s="143"/>
      <c r="Q524" s="144"/>
      <c r="R524" s="144"/>
      <c r="S524" s="144"/>
      <c r="T524" s="150"/>
      <c r="U524" s="145"/>
      <c r="V524" s="143"/>
      <c r="W524" s="143"/>
      <c r="X524" s="3"/>
      <c r="AB524" s="148"/>
      <c r="AC524" s="148"/>
    </row>
    <row r="525" spans="5:29" x14ac:dyDescent="0.25">
      <c r="E525" s="138"/>
      <c r="F525" s="173"/>
      <c r="G525" s="138"/>
      <c r="H525" s="115"/>
      <c r="I525" s="115"/>
      <c r="J525" s="115"/>
      <c r="K525" s="115"/>
      <c r="L525" s="115"/>
      <c r="M525" s="149"/>
      <c r="N525" s="149"/>
      <c r="O525" s="144"/>
      <c r="P525" s="143"/>
      <c r="Q525" s="144"/>
      <c r="R525" s="144"/>
      <c r="S525" s="144"/>
      <c r="T525" s="150"/>
      <c r="U525" s="145"/>
      <c r="V525" s="143"/>
      <c r="W525" s="143"/>
      <c r="X525" s="3"/>
      <c r="AB525" s="148"/>
      <c r="AC525" s="148"/>
    </row>
    <row r="526" spans="5:29" x14ac:dyDescent="0.25">
      <c r="E526" s="138"/>
      <c r="F526" s="173"/>
      <c r="G526" s="138"/>
      <c r="H526" s="115"/>
      <c r="I526" s="115"/>
      <c r="J526" s="115"/>
      <c r="K526" s="115"/>
      <c r="L526" s="115"/>
      <c r="M526" s="149"/>
      <c r="N526" s="149"/>
      <c r="O526" s="144"/>
      <c r="P526" s="143"/>
      <c r="Q526" s="144"/>
      <c r="R526" s="144"/>
      <c r="S526" s="144"/>
      <c r="T526" s="150"/>
      <c r="U526" s="145"/>
      <c r="V526" s="143"/>
      <c r="W526" s="143"/>
      <c r="X526" s="3"/>
      <c r="AB526" s="148"/>
      <c r="AC526" s="148"/>
    </row>
    <row r="527" spans="5:29" x14ac:dyDescent="0.25">
      <c r="E527" s="138"/>
      <c r="F527" s="173"/>
      <c r="G527" s="138"/>
      <c r="H527" s="115"/>
      <c r="I527" s="115"/>
      <c r="J527" s="115"/>
      <c r="K527" s="115"/>
      <c r="L527" s="115"/>
      <c r="M527" s="149"/>
      <c r="N527" s="149"/>
      <c r="O527" s="144"/>
      <c r="P527" s="143"/>
      <c r="Q527" s="144"/>
      <c r="R527" s="144"/>
      <c r="S527" s="144"/>
      <c r="T527" s="150"/>
      <c r="U527" s="145"/>
      <c r="V527" s="143"/>
      <c r="W527" s="143"/>
      <c r="X527" s="3"/>
      <c r="AB527" s="148"/>
      <c r="AC527" s="148"/>
    </row>
    <row r="528" spans="5:29" x14ac:dyDescent="0.25">
      <c r="E528" s="138"/>
      <c r="F528" s="173"/>
      <c r="G528" s="138"/>
      <c r="H528" s="115"/>
      <c r="I528" s="115"/>
      <c r="J528" s="115"/>
      <c r="K528" s="115"/>
      <c r="L528" s="115"/>
      <c r="M528" s="149"/>
      <c r="N528" s="149"/>
      <c r="O528" s="144"/>
      <c r="P528" s="143"/>
      <c r="Q528" s="144"/>
      <c r="R528" s="144"/>
      <c r="S528" s="144"/>
      <c r="T528" s="150"/>
      <c r="U528" s="145"/>
      <c r="V528" s="143"/>
      <c r="W528" s="143"/>
      <c r="X528" s="3"/>
      <c r="AB528" s="148"/>
      <c r="AC528" s="148"/>
    </row>
    <row r="529" spans="5:29" x14ac:dyDescent="0.25">
      <c r="E529" s="138"/>
      <c r="F529" s="173"/>
      <c r="G529" s="138"/>
      <c r="H529" s="115"/>
      <c r="I529" s="115"/>
      <c r="J529" s="115"/>
      <c r="K529" s="115"/>
      <c r="L529" s="115"/>
      <c r="M529" s="149"/>
      <c r="N529" s="149"/>
      <c r="O529" s="144"/>
      <c r="P529" s="143"/>
      <c r="Q529" s="144"/>
      <c r="R529" s="144"/>
      <c r="S529" s="144"/>
      <c r="T529" s="150"/>
      <c r="U529" s="145"/>
      <c r="V529" s="143"/>
      <c r="W529" s="143"/>
      <c r="X529" s="3"/>
      <c r="AB529" s="148"/>
      <c r="AC529" s="148"/>
    </row>
    <row r="530" spans="5:29" x14ac:dyDescent="0.25">
      <c r="E530" s="138"/>
      <c r="F530" s="173"/>
      <c r="G530" s="138"/>
      <c r="H530" s="115"/>
      <c r="I530" s="115"/>
      <c r="J530" s="115"/>
      <c r="K530" s="115"/>
      <c r="L530" s="115"/>
      <c r="M530" s="149"/>
      <c r="N530" s="149"/>
      <c r="O530" s="144"/>
      <c r="P530" s="143"/>
      <c r="Q530" s="144"/>
      <c r="R530" s="144"/>
      <c r="S530" s="144"/>
      <c r="T530" s="150"/>
      <c r="U530" s="145"/>
      <c r="V530" s="143"/>
      <c r="W530" s="143"/>
      <c r="X530" s="3"/>
      <c r="AB530" s="148"/>
      <c r="AC530" s="148"/>
    </row>
    <row r="531" spans="5:29" x14ac:dyDescent="0.25">
      <c r="E531" s="138"/>
      <c r="F531" s="173"/>
      <c r="G531" s="138"/>
      <c r="H531" s="115"/>
      <c r="I531" s="115"/>
      <c r="J531" s="115"/>
      <c r="K531" s="115"/>
      <c r="L531" s="115"/>
      <c r="M531" s="149"/>
      <c r="N531" s="149"/>
      <c r="O531" s="144"/>
      <c r="P531" s="143"/>
      <c r="Q531" s="144"/>
      <c r="R531" s="144"/>
      <c r="S531" s="144"/>
      <c r="T531" s="150"/>
      <c r="U531" s="145"/>
      <c r="V531" s="143"/>
      <c r="W531" s="143"/>
      <c r="X531" s="3"/>
      <c r="AB531" s="148"/>
      <c r="AC531" s="148"/>
    </row>
    <row r="532" spans="5:29" x14ac:dyDescent="0.25">
      <c r="E532" s="138"/>
      <c r="F532" s="173"/>
      <c r="G532" s="138"/>
      <c r="H532" s="115"/>
      <c r="I532" s="115"/>
      <c r="J532" s="115"/>
      <c r="K532" s="115"/>
      <c r="L532" s="115"/>
      <c r="M532" s="149"/>
      <c r="N532" s="149"/>
      <c r="O532" s="144"/>
      <c r="P532" s="143"/>
      <c r="Q532" s="144"/>
      <c r="R532" s="144"/>
      <c r="S532" s="144"/>
      <c r="T532" s="150"/>
      <c r="U532" s="145"/>
      <c r="V532" s="143"/>
      <c r="W532" s="143"/>
      <c r="X532" s="3"/>
      <c r="AB532" s="148"/>
      <c r="AC532" s="148"/>
    </row>
    <row r="533" spans="5:29" x14ac:dyDescent="0.25">
      <c r="E533" s="138"/>
      <c r="F533" s="173"/>
      <c r="G533" s="138"/>
      <c r="H533" s="115"/>
      <c r="I533" s="115"/>
      <c r="J533" s="115"/>
      <c r="K533" s="115"/>
      <c r="L533" s="115"/>
      <c r="M533" s="149"/>
      <c r="N533" s="149"/>
      <c r="O533" s="144"/>
      <c r="P533" s="143"/>
      <c r="Q533" s="144"/>
      <c r="R533" s="144"/>
      <c r="S533" s="144"/>
      <c r="T533" s="150"/>
      <c r="U533" s="145"/>
      <c r="V533" s="143"/>
      <c r="W533" s="143"/>
      <c r="X533" s="3"/>
      <c r="AB533" s="148"/>
      <c r="AC533" s="148"/>
    </row>
    <row r="534" spans="5:29" x14ac:dyDescent="0.25">
      <c r="E534" s="138"/>
      <c r="F534" s="173"/>
      <c r="G534" s="138"/>
      <c r="H534" s="115"/>
      <c r="I534" s="115"/>
      <c r="J534" s="115"/>
      <c r="K534" s="115"/>
      <c r="L534" s="115"/>
      <c r="M534" s="149"/>
      <c r="N534" s="149"/>
      <c r="O534" s="144"/>
      <c r="P534" s="143"/>
      <c r="Q534" s="144"/>
      <c r="R534" s="144"/>
      <c r="S534" s="144"/>
      <c r="T534" s="150"/>
      <c r="U534" s="145"/>
      <c r="V534" s="143"/>
      <c r="W534" s="143"/>
      <c r="X534" s="3"/>
      <c r="AB534" s="148"/>
      <c r="AC534" s="148"/>
    </row>
    <row r="535" spans="5:29" x14ac:dyDescent="0.25">
      <c r="E535" s="138"/>
      <c r="F535" s="173"/>
      <c r="G535" s="138"/>
      <c r="H535" s="115"/>
      <c r="I535" s="115"/>
      <c r="J535" s="115"/>
      <c r="K535" s="115"/>
      <c r="L535" s="115"/>
      <c r="M535" s="149"/>
      <c r="N535" s="149"/>
      <c r="O535" s="144"/>
      <c r="P535" s="143"/>
      <c r="Q535" s="144"/>
      <c r="R535" s="144"/>
      <c r="S535" s="144"/>
      <c r="T535" s="150"/>
      <c r="U535" s="145"/>
      <c r="V535" s="143"/>
      <c r="W535" s="143"/>
      <c r="X535" s="3"/>
      <c r="AB535" s="148"/>
      <c r="AC535" s="148"/>
    </row>
    <row r="536" spans="5:29" x14ac:dyDescent="0.25">
      <c r="E536" s="138"/>
      <c r="F536" s="173"/>
      <c r="G536" s="138"/>
      <c r="H536" s="115"/>
      <c r="I536" s="115"/>
      <c r="J536" s="115"/>
      <c r="K536" s="115"/>
      <c r="L536" s="115"/>
      <c r="M536" s="149"/>
      <c r="N536" s="149"/>
      <c r="O536" s="144"/>
      <c r="P536" s="143"/>
      <c r="Q536" s="144"/>
      <c r="R536" s="144"/>
      <c r="S536" s="144"/>
      <c r="T536" s="150"/>
      <c r="U536" s="145"/>
      <c r="V536" s="143"/>
      <c r="W536" s="143"/>
      <c r="X536" s="3"/>
      <c r="AB536" s="148"/>
      <c r="AC536" s="148"/>
    </row>
    <row r="537" spans="5:29" x14ac:dyDescent="0.25">
      <c r="E537" s="138"/>
      <c r="F537" s="173"/>
      <c r="G537" s="138"/>
      <c r="H537" s="115"/>
      <c r="I537" s="115"/>
      <c r="J537" s="115"/>
      <c r="K537" s="115"/>
      <c r="L537" s="115"/>
      <c r="M537" s="149"/>
      <c r="N537" s="149"/>
      <c r="O537" s="144"/>
      <c r="P537" s="143"/>
      <c r="Q537" s="144"/>
      <c r="R537" s="144"/>
      <c r="S537" s="144"/>
      <c r="T537" s="150"/>
      <c r="U537" s="145"/>
      <c r="V537" s="143"/>
      <c r="W537" s="143"/>
      <c r="X537" s="3"/>
      <c r="AB537" s="148"/>
      <c r="AC537" s="148"/>
    </row>
    <row r="538" spans="5:29" x14ac:dyDescent="0.25">
      <c r="E538" s="138"/>
      <c r="F538" s="173"/>
      <c r="G538" s="138"/>
      <c r="H538" s="115"/>
      <c r="I538" s="115"/>
      <c r="J538" s="115"/>
      <c r="K538" s="115"/>
      <c r="L538" s="115"/>
      <c r="M538" s="149"/>
      <c r="N538" s="149"/>
      <c r="O538" s="144"/>
      <c r="P538" s="143"/>
      <c r="Q538" s="144"/>
      <c r="R538" s="144"/>
      <c r="S538" s="144"/>
      <c r="T538" s="150"/>
      <c r="U538" s="145"/>
      <c r="V538" s="143"/>
      <c r="W538" s="143"/>
      <c r="X538" s="3"/>
      <c r="AB538" s="148"/>
      <c r="AC538" s="148"/>
    </row>
    <row r="539" spans="5:29" x14ac:dyDescent="0.25">
      <c r="E539" s="138"/>
      <c r="F539" s="173"/>
      <c r="G539" s="138"/>
      <c r="H539" s="115"/>
      <c r="I539" s="115"/>
      <c r="J539" s="115"/>
      <c r="K539" s="115"/>
      <c r="L539" s="115"/>
      <c r="M539" s="149"/>
      <c r="N539" s="149"/>
      <c r="O539" s="144"/>
      <c r="P539" s="143"/>
      <c r="Q539" s="144"/>
      <c r="R539" s="144"/>
      <c r="S539" s="144"/>
      <c r="T539" s="150"/>
      <c r="U539" s="145"/>
      <c r="V539" s="143"/>
      <c r="W539" s="143"/>
      <c r="X539" s="3"/>
      <c r="AB539" s="148"/>
      <c r="AC539" s="148"/>
    </row>
    <row r="540" spans="5:29" x14ac:dyDescent="0.25">
      <c r="E540" s="138"/>
      <c r="F540" s="173"/>
      <c r="G540" s="138"/>
      <c r="H540" s="115"/>
      <c r="I540" s="115"/>
      <c r="J540" s="115"/>
      <c r="K540" s="115"/>
      <c r="L540" s="115"/>
      <c r="M540" s="149"/>
      <c r="N540" s="149"/>
      <c r="O540" s="144"/>
      <c r="P540" s="143"/>
      <c r="Q540" s="144"/>
      <c r="R540" s="144"/>
      <c r="S540" s="144"/>
      <c r="T540" s="150"/>
      <c r="U540" s="145"/>
      <c r="V540" s="143"/>
      <c r="W540" s="143"/>
      <c r="X540" s="3"/>
      <c r="AB540" s="148"/>
      <c r="AC540" s="148"/>
    </row>
    <row r="541" spans="5:29" x14ac:dyDescent="0.25">
      <c r="E541" s="138"/>
      <c r="F541" s="173"/>
      <c r="G541" s="138"/>
      <c r="H541" s="115"/>
      <c r="I541" s="115"/>
      <c r="J541" s="115"/>
      <c r="K541" s="115"/>
      <c r="L541" s="115"/>
      <c r="M541" s="149"/>
      <c r="N541" s="149"/>
      <c r="O541" s="144"/>
      <c r="P541" s="143"/>
      <c r="Q541" s="144"/>
      <c r="R541" s="144"/>
      <c r="S541" s="144"/>
      <c r="T541" s="150"/>
      <c r="U541" s="145"/>
      <c r="V541" s="143"/>
      <c r="W541" s="143"/>
      <c r="X541" s="3"/>
      <c r="AB541" s="148"/>
      <c r="AC541" s="148"/>
    </row>
    <row r="542" spans="5:29" x14ac:dyDescent="0.25">
      <c r="E542" s="138"/>
      <c r="F542" s="173"/>
      <c r="G542" s="138"/>
      <c r="H542" s="115"/>
      <c r="I542" s="115"/>
      <c r="J542" s="115"/>
      <c r="K542" s="115"/>
      <c r="L542" s="115"/>
      <c r="M542" s="149"/>
      <c r="N542" s="149"/>
      <c r="O542" s="144"/>
      <c r="P542" s="143"/>
      <c r="Q542" s="144"/>
      <c r="R542" s="144"/>
      <c r="S542" s="144"/>
      <c r="T542" s="150"/>
      <c r="U542" s="145"/>
      <c r="V542" s="143"/>
      <c r="W542" s="143"/>
      <c r="X542" s="3"/>
      <c r="AB542" s="148"/>
      <c r="AC542" s="148"/>
    </row>
    <row r="543" spans="5:29" x14ac:dyDescent="0.25">
      <c r="E543" s="138"/>
      <c r="F543" s="173"/>
      <c r="G543" s="138"/>
      <c r="H543" s="115"/>
      <c r="I543" s="115"/>
      <c r="J543" s="115"/>
      <c r="K543" s="115"/>
      <c r="L543" s="115"/>
      <c r="M543" s="149"/>
      <c r="N543" s="149"/>
      <c r="O543" s="144"/>
      <c r="P543" s="143"/>
      <c r="Q543" s="144"/>
      <c r="R543" s="144"/>
      <c r="S543" s="144"/>
      <c r="T543" s="150"/>
      <c r="U543" s="145"/>
      <c r="V543" s="143"/>
      <c r="W543" s="143"/>
      <c r="X543" s="3"/>
      <c r="AB543" s="148"/>
      <c r="AC543" s="148"/>
    </row>
    <row r="544" spans="5:29" x14ac:dyDescent="0.25">
      <c r="E544" s="138"/>
      <c r="F544" s="173"/>
      <c r="G544" s="138"/>
      <c r="H544" s="115"/>
      <c r="I544" s="115"/>
      <c r="J544" s="115"/>
      <c r="K544" s="115"/>
      <c r="L544" s="115"/>
      <c r="M544" s="149"/>
      <c r="N544" s="149"/>
      <c r="O544" s="144"/>
      <c r="P544" s="143"/>
      <c r="Q544" s="144"/>
      <c r="R544" s="144"/>
      <c r="S544" s="144"/>
      <c r="T544" s="150"/>
      <c r="U544" s="145"/>
      <c r="V544" s="143"/>
      <c r="W544" s="143"/>
      <c r="X544" s="3"/>
      <c r="AB544" s="148"/>
      <c r="AC544" s="148"/>
    </row>
    <row r="545" spans="5:29" x14ac:dyDescent="0.25">
      <c r="E545" s="138"/>
      <c r="F545" s="173"/>
      <c r="G545" s="138"/>
      <c r="H545" s="115"/>
      <c r="I545" s="115"/>
      <c r="J545" s="115"/>
      <c r="K545" s="115"/>
      <c r="L545" s="115"/>
      <c r="M545" s="149"/>
      <c r="N545" s="149"/>
      <c r="O545" s="144"/>
      <c r="P545" s="143"/>
      <c r="Q545" s="144"/>
      <c r="R545" s="144"/>
      <c r="S545" s="144"/>
      <c r="T545" s="150"/>
      <c r="U545" s="145"/>
      <c r="V545" s="143"/>
      <c r="W545" s="143"/>
      <c r="X545" s="3"/>
      <c r="AB545" s="148"/>
      <c r="AC545" s="148"/>
    </row>
    <row r="546" spans="5:29" x14ac:dyDescent="0.25">
      <c r="E546" s="138"/>
      <c r="F546" s="173"/>
      <c r="G546" s="138"/>
      <c r="H546" s="115"/>
      <c r="I546" s="115"/>
      <c r="J546" s="115"/>
      <c r="K546" s="115"/>
      <c r="L546" s="115"/>
      <c r="M546" s="149"/>
      <c r="N546" s="149"/>
      <c r="O546" s="144"/>
      <c r="P546" s="143"/>
      <c r="Q546" s="144"/>
      <c r="R546" s="144"/>
      <c r="S546" s="144"/>
      <c r="T546" s="150"/>
      <c r="U546" s="145"/>
      <c r="V546" s="143"/>
      <c r="W546" s="143"/>
      <c r="X546" s="3"/>
      <c r="AB546" s="148"/>
      <c r="AC546" s="148"/>
    </row>
    <row r="547" spans="5:29" x14ac:dyDescent="0.25">
      <c r="E547" s="138"/>
      <c r="F547" s="173"/>
      <c r="G547" s="138"/>
      <c r="H547" s="115"/>
      <c r="I547" s="115"/>
      <c r="J547" s="115"/>
      <c r="K547" s="115"/>
      <c r="L547" s="115"/>
      <c r="M547" s="149"/>
      <c r="N547" s="149"/>
      <c r="O547" s="144"/>
      <c r="P547" s="143"/>
      <c r="Q547" s="144"/>
      <c r="R547" s="144"/>
      <c r="S547" s="144"/>
      <c r="T547" s="150"/>
      <c r="U547" s="145"/>
      <c r="V547" s="143"/>
      <c r="W547" s="143"/>
      <c r="X547" s="3"/>
      <c r="AB547" s="148"/>
      <c r="AC547" s="148"/>
    </row>
    <row r="548" spans="5:29" x14ac:dyDescent="0.25">
      <c r="E548" s="138"/>
      <c r="F548" s="173"/>
      <c r="G548" s="138"/>
      <c r="H548" s="115"/>
      <c r="I548" s="115"/>
      <c r="J548" s="115"/>
      <c r="K548" s="115"/>
      <c r="L548" s="115"/>
      <c r="M548" s="149"/>
      <c r="N548" s="149"/>
      <c r="O548" s="144"/>
      <c r="P548" s="143"/>
      <c r="Q548" s="144"/>
      <c r="R548" s="144"/>
      <c r="S548" s="144"/>
      <c r="T548" s="150"/>
      <c r="U548" s="145"/>
      <c r="V548" s="143"/>
      <c r="W548" s="143"/>
      <c r="X548" s="3"/>
      <c r="AB548" s="148"/>
      <c r="AC548" s="148"/>
    </row>
    <row r="549" spans="5:29" x14ac:dyDescent="0.25">
      <c r="E549" s="138"/>
      <c r="F549" s="173"/>
      <c r="G549" s="138"/>
      <c r="H549" s="115"/>
      <c r="I549" s="115"/>
      <c r="J549" s="115"/>
      <c r="K549" s="115"/>
      <c r="L549" s="115"/>
      <c r="M549" s="149"/>
      <c r="N549" s="149"/>
      <c r="O549" s="144"/>
      <c r="P549" s="143"/>
      <c r="Q549" s="144"/>
      <c r="R549" s="144"/>
      <c r="S549" s="144"/>
      <c r="T549" s="150"/>
      <c r="U549" s="145"/>
      <c r="V549" s="143"/>
      <c r="W549" s="143"/>
      <c r="X549" s="3"/>
      <c r="AB549" s="148"/>
      <c r="AC549" s="148"/>
    </row>
    <row r="550" spans="5:29" x14ac:dyDescent="0.25">
      <c r="E550" s="138"/>
      <c r="F550" s="173"/>
      <c r="G550" s="138"/>
      <c r="H550" s="115"/>
      <c r="I550" s="115"/>
      <c r="J550" s="115"/>
      <c r="K550" s="115"/>
      <c r="L550" s="115"/>
      <c r="M550" s="149"/>
      <c r="N550" s="149"/>
      <c r="O550" s="144"/>
      <c r="P550" s="143"/>
      <c r="Q550" s="144"/>
      <c r="R550" s="144"/>
      <c r="S550" s="144"/>
      <c r="T550" s="150"/>
      <c r="U550" s="145"/>
      <c r="V550" s="143"/>
      <c r="W550" s="143"/>
      <c r="X550" s="3"/>
      <c r="AB550" s="148"/>
      <c r="AC550" s="148"/>
    </row>
    <row r="551" spans="5:29" x14ac:dyDescent="0.25">
      <c r="E551" s="138"/>
      <c r="F551" s="173"/>
      <c r="G551" s="138"/>
      <c r="H551" s="115"/>
      <c r="I551" s="115"/>
      <c r="J551" s="115"/>
      <c r="K551" s="115"/>
      <c r="L551" s="115"/>
      <c r="M551" s="149"/>
      <c r="N551" s="149"/>
      <c r="O551" s="144"/>
      <c r="P551" s="143"/>
      <c r="Q551" s="144"/>
      <c r="R551" s="144"/>
      <c r="S551" s="144"/>
      <c r="T551" s="150"/>
      <c r="U551" s="145"/>
      <c r="V551" s="143"/>
      <c r="W551" s="143"/>
      <c r="X551" s="3"/>
      <c r="AB551" s="148"/>
      <c r="AC551" s="148"/>
    </row>
    <row r="552" spans="5:29" x14ac:dyDescent="0.25">
      <c r="E552" s="138"/>
      <c r="F552" s="173"/>
      <c r="G552" s="138"/>
      <c r="H552" s="115"/>
      <c r="I552" s="115"/>
      <c r="J552" s="115"/>
      <c r="K552" s="115"/>
      <c r="L552" s="115"/>
      <c r="M552" s="149"/>
      <c r="N552" s="149"/>
      <c r="O552" s="144"/>
      <c r="P552" s="143"/>
      <c r="Q552" s="144"/>
      <c r="R552" s="144"/>
      <c r="S552" s="144"/>
      <c r="T552" s="150"/>
      <c r="U552" s="145"/>
      <c r="V552" s="143"/>
      <c r="W552" s="143"/>
      <c r="X552" s="3"/>
      <c r="AB552" s="148"/>
      <c r="AC552" s="148"/>
    </row>
    <row r="553" spans="5:29" x14ac:dyDescent="0.25">
      <c r="E553" s="138"/>
      <c r="F553" s="173"/>
      <c r="G553" s="138"/>
      <c r="H553" s="115"/>
      <c r="I553" s="115"/>
      <c r="J553" s="115"/>
      <c r="K553" s="115"/>
      <c r="L553" s="115"/>
      <c r="M553" s="149"/>
      <c r="N553" s="149"/>
      <c r="O553" s="144"/>
      <c r="P553" s="143"/>
      <c r="Q553" s="144"/>
      <c r="R553" s="144"/>
      <c r="S553" s="144"/>
      <c r="T553" s="150"/>
      <c r="U553" s="145"/>
      <c r="V553" s="143"/>
      <c r="W553" s="143"/>
      <c r="X553" s="3"/>
      <c r="AB553" s="148"/>
      <c r="AC553" s="148"/>
    </row>
    <row r="554" spans="5:29" x14ac:dyDescent="0.25">
      <c r="E554" s="138"/>
      <c r="F554" s="173"/>
      <c r="G554" s="138"/>
      <c r="H554" s="115"/>
      <c r="I554" s="115"/>
      <c r="J554" s="115"/>
      <c r="K554" s="115"/>
      <c r="L554" s="115"/>
      <c r="M554" s="149"/>
      <c r="N554" s="149"/>
      <c r="O554" s="144"/>
      <c r="P554" s="143"/>
      <c r="Q554" s="144"/>
      <c r="R554" s="144"/>
      <c r="S554" s="144"/>
      <c r="T554" s="150"/>
      <c r="U554" s="145"/>
      <c r="V554" s="143"/>
      <c r="W554" s="143"/>
      <c r="X554" s="3"/>
      <c r="AB554" s="148"/>
      <c r="AC554" s="148"/>
    </row>
    <row r="555" spans="5:29" x14ac:dyDescent="0.25">
      <c r="E555" s="138"/>
      <c r="F555" s="173"/>
      <c r="G555" s="138"/>
      <c r="H555" s="115"/>
      <c r="I555" s="115"/>
      <c r="J555" s="115"/>
      <c r="K555" s="115"/>
      <c r="L555" s="115"/>
      <c r="M555" s="149"/>
      <c r="N555" s="149"/>
      <c r="O555" s="144"/>
      <c r="P555" s="143"/>
      <c r="Q555" s="144"/>
      <c r="R555" s="144"/>
      <c r="S555" s="144"/>
      <c r="T555" s="150"/>
      <c r="U555" s="145"/>
      <c r="V555" s="143"/>
      <c r="W555" s="143"/>
      <c r="X555" s="3"/>
      <c r="AB555" s="148"/>
      <c r="AC555" s="148"/>
    </row>
    <row r="556" spans="5:29" x14ac:dyDescent="0.25">
      <c r="E556" s="138"/>
      <c r="F556" s="173"/>
      <c r="G556" s="138"/>
      <c r="H556" s="115"/>
      <c r="I556" s="115"/>
      <c r="J556" s="115"/>
      <c r="K556" s="115"/>
      <c r="L556" s="115"/>
      <c r="M556" s="149"/>
      <c r="N556" s="149"/>
      <c r="O556" s="144"/>
      <c r="P556" s="143"/>
      <c r="Q556" s="144"/>
      <c r="R556" s="144"/>
      <c r="S556" s="144"/>
      <c r="T556" s="150"/>
      <c r="U556" s="145"/>
      <c r="V556" s="143"/>
      <c r="W556" s="143"/>
      <c r="X556" s="3"/>
      <c r="AB556" s="148"/>
      <c r="AC556" s="148"/>
    </row>
    <row r="557" spans="5:29" x14ac:dyDescent="0.25">
      <c r="E557" s="138"/>
      <c r="F557" s="173"/>
      <c r="G557" s="138"/>
      <c r="H557" s="115"/>
      <c r="I557" s="115"/>
      <c r="J557" s="115"/>
      <c r="K557" s="115"/>
      <c r="L557" s="115"/>
      <c r="M557" s="149"/>
      <c r="N557" s="149"/>
      <c r="O557" s="144"/>
      <c r="P557" s="143"/>
      <c r="Q557" s="144"/>
      <c r="R557" s="144"/>
      <c r="S557" s="144"/>
      <c r="T557" s="150"/>
      <c r="U557" s="145"/>
      <c r="V557" s="143"/>
      <c r="W557" s="143"/>
      <c r="X557" s="3"/>
      <c r="AB557" s="148"/>
      <c r="AC557" s="148"/>
    </row>
    <row r="558" spans="5:29" x14ac:dyDescent="0.25">
      <c r="E558" s="138"/>
      <c r="F558" s="173"/>
      <c r="G558" s="138"/>
      <c r="H558" s="115"/>
      <c r="I558" s="115"/>
      <c r="J558" s="115"/>
      <c r="K558" s="115"/>
      <c r="L558" s="115"/>
      <c r="M558" s="149"/>
      <c r="N558" s="149"/>
      <c r="O558" s="144"/>
      <c r="P558" s="143"/>
      <c r="Q558" s="144"/>
      <c r="R558" s="144"/>
      <c r="S558" s="144"/>
      <c r="T558" s="150"/>
      <c r="U558" s="145"/>
      <c r="V558" s="143"/>
      <c r="W558" s="143"/>
      <c r="X558" s="3"/>
      <c r="AB558" s="148"/>
      <c r="AC558" s="148"/>
    </row>
    <row r="559" spans="5:29" x14ac:dyDescent="0.25">
      <c r="E559" s="138"/>
      <c r="F559" s="173"/>
      <c r="G559" s="138"/>
      <c r="H559" s="115"/>
      <c r="I559" s="115"/>
      <c r="J559" s="115"/>
      <c r="K559" s="115"/>
      <c r="L559" s="115"/>
      <c r="M559" s="149"/>
      <c r="N559" s="149"/>
      <c r="O559" s="144"/>
      <c r="P559" s="143"/>
      <c r="Q559" s="144"/>
      <c r="R559" s="144"/>
      <c r="S559" s="144"/>
      <c r="T559" s="150"/>
      <c r="U559" s="145"/>
      <c r="V559" s="143"/>
      <c r="W559" s="143"/>
      <c r="X559" s="3"/>
      <c r="AB559" s="148"/>
      <c r="AC559" s="148"/>
    </row>
    <row r="560" spans="5:29" x14ac:dyDescent="0.25">
      <c r="E560" s="138"/>
      <c r="F560" s="173"/>
      <c r="G560" s="138"/>
      <c r="H560" s="115"/>
      <c r="I560" s="115"/>
      <c r="J560" s="115"/>
      <c r="K560" s="115"/>
      <c r="L560" s="115"/>
      <c r="M560" s="149"/>
      <c r="N560" s="149"/>
      <c r="O560" s="144"/>
      <c r="P560" s="143"/>
      <c r="Q560" s="144"/>
      <c r="R560" s="144"/>
      <c r="S560" s="144"/>
      <c r="T560" s="150"/>
      <c r="U560" s="145"/>
      <c r="V560" s="143"/>
      <c r="W560" s="143"/>
      <c r="X560" s="3"/>
      <c r="AB560" s="148"/>
      <c r="AC560" s="148"/>
    </row>
    <row r="561" spans="5:29" x14ac:dyDescent="0.25">
      <c r="E561" s="138"/>
      <c r="F561" s="173"/>
      <c r="G561" s="138"/>
      <c r="H561" s="115"/>
      <c r="I561" s="115"/>
      <c r="J561" s="115"/>
      <c r="K561" s="115"/>
      <c r="L561" s="115"/>
      <c r="M561" s="149"/>
      <c r="N561" s="149"/>
      <c r="O561" s="144"/>
      <c r="P561" s="143"/>
      <c r="Q561" s="144"/>
      <c r="R561" s="144"/>
      <c r="S561" s="144"/>
      <c r="T561" s="150"/>
      <c r="U561" s="145"/>
      <c r="V561" s="143"/>
      <c r="W561" s="143"/>
      <c r="X561" s="3"/>
      <c r="AB561" s="148"/>
      <c r="AC561" s="148"/>
    </row>
    <row r="562" spans="5:29" x14ac:dyDescent="0.25">
      <c r="E562" s="138"/>
      <c r="F562" s="173"/>
      <c r="G562" s="138"/>
      <c r="H562" s="115"/>
      <c r="I562" s="115"/>
      <c r="J562" s="115"/>
      <c r="K562" s="115"/>
      <c r="L562" s="115"/>
      <c r="M562" s="149"/>
      <c r="N562" s="149"/>
      <c r="O562" s="144"/>
      <c r="P562" s="143"/>
      <c r="Q562" s="144"/>
      <c r="R562" s="144"/>
      <c r="S562" s="144"/>
      <c r="T562" s="150"/>
      <c r="U562" s="145"/>
      <c r="V562" s="143"/>
      <c r="W562" s="143"/>
      <c r="X562" s="3"/>
      <c r="AB562" s="148"/>
      <c r="AC562" s="148"/>
    </row>
    <row r="563" spans="5:29" x14ac:dyDescent="0.25">
      <c r="E563" s="138"/>
      <c r="F563" s="173"/>
      <c r="G563" s="138"/>
      <c r="H563" s="115"/>
      <c r="I563" s="115"/>
      <c r="J563" s="115"/>
      <c r="K563" s="115"/>
      <c r="L563" s="115"/>
      <c r="M563" s="149"/>
      <c r="N563" s="149"/>
      <c r="O563" s="144"/>
      <c r="P563" s="143"/>
      <c r="Q563" s="144"/>
      <c r="R563" s="144"/>
      <c r="S563" s="144"/>
      <c r="T563" s="150"/>
      <c r="U563" s="145"/>
      <c r="V563" s="143"/>
      <c r="W563" s="143"/>
      <c r="X563" s="3"/>
      <c r="AB563" s="148"/>
      <c r="AC563" s="148"/>
    </row>
    <row r="564" spans="5:29" x14ac:dyDescent="0.25">
      <c r="E564" s="138"/>
      <c r="F564" s="173"/>
      <c r="G564" s="138"/>
      <c r="H564" s="115"/>
      <c r="I564" s="115"/>
      <c r="J564" s="115"/>
      <c r="K564" s="115"/>
      <c r="L564" s="115"/>
      <c r="M564" s="149"/>
      <c r="N564" s="149"/>
      <c r="O564" s="144"/>
      <c r="P564" s="143"/>
      <c r="Q564" s="144"/>
      <c r="R564" s="144"/>
      <c r="S564" s="144"/>
      <c r="T564" s="150"/>
      <c r="U564" s="145"/>
      <c r="V564" s="143"/>
      <c r="W564" s="143"/>
      <c r="X564" s="3"/>
      <c r="AB564" s="148"/>
      <c r="AC564" s="148"/>
    </row>
    <row r="565" spans="5:29" x14ac:dyDescent="0.25">
      <c r="E565" s="138"/>
      <c r="F565" s="173"/>
      <c r="G565" s="138"/>
      <c r="H565" s="115"/>
      <c r="I565" s="115"/>
      <c r="J565" s="115"/>
      <c r="K565" s="115"/>
      <c r="L565" s="115"/>
      <c r="M565" s="149"/>
      <c r="N565" s="149"/>
      <c r="O565" s="144"/>
      <c r="P565" s="143"/>
      <c r="Q565" s="144"/>
      <c r="R565" s="144"/>
      <c r="S565" s="144"/>
      <c r="T565" s="150"/>
      <c r="U565" s="145"/>
      <c r="V565" s="143"/>
      <c r="W565" s="143"/>
      <c r="X565" s="3"/>
      <c r="AB565" s="148"/>
      <c r="AC565" s="148"/>
    </row>
    <row r="566" spans="5:29" x14ac:dyDescent="0.25">
      <c r="E566" s="138"/>
      <c r="F566" s="173"/>
      <c r="G566" s="138"/>
      <c r="H566" s="115"/>
      <c r="I566" s="115"/>
      <c r="J566" s="115"/>
      <c r="K566" s="115"/>
      <c r="L566" s="115"/>
      <c r="M566" s="149"/>
      <c r="N566" s="149"/>
      <c r="O566" s="144"/>
      <c r="P566" s="143"/>
      <c r="Q566" s="144"/>
      <c r="R566" s="144"/>
      <c r="S566" s="144"/>
      <c r="T566" s="150"/>
      <c r="U566" s="145"/>
      <c r="V566" s="143"/>
      <c r="W566" s="143"/>
      <c r="X566" s="3"/>
      <c r="AB566" s="148"/>
      <c r="AC566" s="148"/>
    </row>
    <row r="567" spans="5:29" x14ac:dyDescent="0.25">
      <c r="E567" s="138"/>
      <c r="F567" s="173"/>
      <c r="G567" s="138"/>
      <c r="H567" s="115"/>
      <c r="I567" s="115"/>
      <c r="J567" s="115"/>
      <c r="K567" s="115"/>
      <c r="L567" s="115"/>
      <c r="M567" s="149"/>
      <c r="N567" s="149"/>
      <c r="O567" s="144"/>
      <c r="P567" s="143"/>
      <c r="Q567" s="144"/>
      <c r="R567" s="144"/>
      <c r="S567" s="144"/>
      <c r="T567" s="150"/>
      <c r="U567" s="145"/>
      <c r="V567" s="143"/>
      <c r="W567" s="143"/>
      <c r="X567" s="3"/>
      <c r="AB567" s="148"/>
      <c r="AC567" s="148"/>
    </row>
    <row r="568" spans="5:29" x14ac:dyDescent="0.25">
      <c r="E568" s="138"/>
      <c r="F568" s="173"/>
      <c r="G568" s="138"/>
      <c r="H568" s="115"/>
      <c r="I568" s="115"/>
      <c r="J568" s="115"/>
      <c r="K568" s="115"/>
      <c r="L568" s="115"/>
      <c r="M568" s="149"/>
      <c r="N568" s="149"/>
      <c r="O568" s="144"/>
      <c r="P568" s="143"/>
      <c r="Q568" s="144"/>
      <c r="R568" s="144"/>
      <c r="S568" s="144"/>
      <c r="T568" s="150"/>
      <c r="U568" s="145"/>
      <c r="V568" s="143"/>
      <c r="W568" s="143"/>
      <c r="X568" s="3"/>
      <c r="AB568" s="148"/>
      <c r="AC568" s="148"/>
    </row>
    <row r="569" spans="5:29" x14ac:dyDescent="0.25">
      <c r="E569" s="138"/>
      <c r="F569" s="173"/>
      <c r="G569" s="138"/>
      <c r="H569" s="115"/>
      <c r="I569" s="115"/>
      <c r="J569" s="115"/>
      <c r="K569" s="115"/>
      <c r="L569" s="115"/>
      <c r="M569" s="149"/>
      <c r="N569" s="149"/>
      <c r="O569" s="144"/>
      <c r="P569" s="143"/>
      <c r="Q569" s="144"/>
      <c r="R569" s="144"/>
      <c r="S569" s="144"/>
      <c r="T569" s="150"/>
      <c r="U569" s="145"/>
      <c r="V569" s="143"/>
      <c r="W569" s="143"/>
      <c r="X569" s="3"/>
      <c r="AB569" s="148"/>
      <c r="AC569" s="148"/>
    </row>
    <row r="570" spans="5:29" x14ac:dyDescent="0.25">
      <c r="E570" s="138"/>
      <c r="F570" s="173"/>
      <c r="G570" s="138"/>
      <c r="H570" s="115"/>
      <c r="I570" s="115"/>
      <c r="J570" s="115"/>
      <c r="K570" s="115"/>
      <c r="L570" s="115"/>
      <c r="M570" s="149"/>
      <c r="N570" s="149"/>
      <c r="O570" s="144"/>
      <c r="P570" s="143"/>
      <c r="Q570" s="144"/>
      <c r="R570" s="144"/>
      <c r="S570" s="144"/>
      <c r="T570" s="150"/>
      <c r="U570" s="145"/>
      <c r="V570" s="143"/>
      <c r="W570" s="143"/>
      <c r="X570" s="3"/>
      <c r="AB570" s="148"/>
      <c r="AC570" s="148"/>
    </row>
    <row r="571" spans="5:29" x14ac:dyDescent="0.25">
      <c r="E571" s="138"/>
      <c r="F571" s="173"/>
      <c r="G571" s="138"/>
      <c r="H571" s="115"/>
      <c r="I571" s="115"/>
      <c r="J571" s="115"/>
      <c r="K571" s="115"/>
      <c r="L571" s="115"/>
      <c r="M571" s="149"/>
      <c r="N571" s="149"/>
      <c r="O571" s="144"/>
      <c r="P571" s="143"/>
      <c r="Q571" s="144"/>
      <c r="R571" s="144"/>
      <c r="S571" s="144"/>
      <c r="T571" s="150"/>
      <c r="U571" s="145"/>
      <c r="V571" s="143"/>
      <c r="W571" s="143"/>
      <c r="X571" s="3"/>
      <c r="AB571" s="148"/>
      <c r="AC571" s="148"/>
    </row>
    <row r="572" spans="5:29" x14ac:dyDescent="0.25">
      <c r="E572" s="138"/>
      <c r="F572" s="173"/>
      <c r="G572" s="138"/>
      <c r="H572" s="115"/>
      <c r="I572" s="115"/>
      <c r="J572" s="115"/>
      <c r="K572" s="115"/>
      <c r="L572" s="115"/>
      <c r="M572" s="149"/>
      <c r="N572" s="149"/>
      <c r="O572" s="144"/>
      <c r="P572" s="143"/>
      <c r="Q572" s="144"/>
      <c r="R572" s="144"/>
      <c r="S572" s="144"/>
      <c r="T572" s="150"/>
      <c r="U572" s="145"/>
      <c r="V572" s="143"/>
      <c r="W572" s="143"/>
      <c r="X572" s="3"/>
      <c r="AB572" s="148"/>
      <c r="AC572" s="148"/>
    </row>
    <row r="573" spans="5:29" x14ac:dyDescent="0.25">
      <c r="E573" s="138"/>
      <c r="F573" s="173"/>
      <c r="G573" s="138"/>
      <c r="H573" s="115"/>
      <c r="I573" s="115"/>
      <c r="J573" s="115"/>
      <c r="K573" s="115"/>
      <c r="L573" s="115"/>
      <c r="M573" s="149"/>
      <c r="N573" s="149"/>
      <c r="O573" s="144"/>
      <c r="P573" s="143"/>
      <c r="Q573" s="144"/>
      <c r="R573" s="144"/>
      <c r="S573" s="144"/>
      <c r="T573" s="150"/>
      <c r="U573" s="145"/>
      <c r="V573" s="143"/>
      <c r="W573" s="143"/>
      <c r="X573" s="3"/>
      <c r="AB573" s="148"/>
      <c r="AC573" s="148"/>
    </row>
    <row r="574" spans="5:29" x14ac:dyDescent="0.25">
      <c r="E574" s="138"/>
      <c r="F574" s="173"/>
      <c r="G574" s="138"/>
      <c r="H574" s="115"/>
      <c r="I574" s="115"/>
      <c r="J574" s="115"/>
      <c r="K574" s="115"/>
      <c r="L574" s="115"/>
      <c r="M574" s="149"/>
      <c r="N574" s="149"/>
      <c r="O574" s="144"/>
      <c r="P574" s="143"/>
      <c r="Q574" s="144"/>
      <c r="R574" s="144"/>
      <c r="S574" s="144"/>
      <c r="T574" s="150"/>
      <c r="U574" s="145"/>
      <c r="V574" s="143"/>
      <c r="W574" s="143"/>
      <c r="X574" s="3"/>
      <c r="AB574" s="148"/>
      <c r="AC574" s="148"/>
    </row>
    <row r="575" spans="5:29" x14ac:dyDescent="0.25">
      <c r="E575" s="138"/>
      <c r="F575" s="173"/>
      <c r="G575" s="138"/>
      <c r="H575" s="115"/>
      <c r="I575" s="115"/>
      <c r="J575" s="115"/>
      <c r="K575" s="115"/>
      <c r="L575" s="115"/>
      <c r="M575" s="149"/>
      <c r="N575" s="149"/>
      <c r="O575" s="144"/>
      <c r="P575" s="143"/>
      <c r="Q575" s="144"/>
      <c r="R575" s="144"/>
      <c r="S575" s="144"/>
      <c r="T575" s="150"/>
      <c r="U575" s="145"/>
      <c r="V575" s="143"/>
      <c r="W575" s="143"/>
      <c r="X575" s="3"/>
      <c r="AB575" s="148"/>
      <c r="AC575" s="148"/>
    </row>
    <row r="576" spans="5:29" x14ac:dyDescent="0.25">
      <c r="E576" s="138"/>
      <c r="F576" s="173"/>
      <c r="G576" s="138"/>
      <c r="H576" s="115"/>
      <c r="I576" s="115"/>
      <c r="J576" s="115"/>
      <c r="K576" s="115"/>
      <c r="L576" s="115"/>
      <c r="M576" s="149"/>
      <c r="N576" s="149"/>
      <c r="O576" s="144"/>
      <c r="P576" s="143"/>
      <c r="Q576" s="144"/>
      <c r="R576" s="144"/>
      <c r="S576" s="144"/>
      <c r="T576" s="150"/>
      <c r="U576" s="145"/>
      <c r="V576" s="143"/>
      <c r="W576" s="143"/>
      <c r="X576" s="3"/>
      <c r="AB576" s="148"/>
      <c r="AC576" s="148"/>
    </row>
    <row r="577" spans="1:37" x14ac:dyDescent="0.25">
      <c r="E577" s="138"/>
      <c r="F577" s="173"/>
      <c r="G577" s="138"/>
      <c r="H577" s="115"/>
      <c r="I577" s="115"/>
      <c r="J577" s="115"/>
      <c r="K577" s="115"/>
      <c r="L577" s="115"/>
      <c r="M577" s="149"/>
      <c r="N577" s="149"/>
      <c r="O577" s="144"/>
      <c r="P577" s="143"/>
      <c r="Q577" s="144"/>
      <c r="R577" s="144"/>
      <c r="S577" s="144"/>
      <c r="T577" s="150"/>
      <c r="U577" s="145"/>
      <c r="V577" s="143"/>
      <c r="W577" s="143"/>
      <c r="X577" s="3"/>
      <c r="AB577" s="148"/>
      <c r="AC577" s="148"/>
    </row>
    <row r="578" spans="1:37" x14ac:dyDescent="0.25">
      <c r="E578" s="138"/>
      <c r="F578" s="173"/>
      <c r="G578" s="138"/>
      <c r="H578" s="115"/>
      <c r="I578" s="115"/>
      <c r="J578" s="115"/>
      <c r="K578" s="115"/>
      <c r="L578" s="115"/>
      <c r="M578" s="149"/>
      <c r="N578" s="149"/>
      <c r="O578" s="144"/>
      <c r="P578" s="143"/>
      <c r="Q578" s="144"/>
      <c r="R578" s="144"/>
      <c r="S578" s="144"/>
      <c r="T578" s="150"/>
      <c r="U578" s="145"/>
      <c r="V578" s="143"/>
      <c r="W578" s="143"/>
      <c r="X578" s="3"/>
      <c r="AB578" s="148"/>
      <c r="AC578" s="148"/>
    </row>
    <row r="579" spans="1:37" x14ac:dyDescent="0.25">
      <c r="E579" s="138"/>
      <c r="F579" s="173"/>
      <c r="G579" s="138"/>
      <c r="H579" s="115"/>
      <c r="I579" s="115"/>
      <c r="J579" s="115"/>
      <c r="K579" s="115"/>
      <c r="L579" s="115"/>
      <c r="M579" s="149"/>
      <c r="N579" s="149"/>
      <c r="O579" s="144"/>
      <c r="P579" s="143"/>
      <c r="Q579" s="144"/>
      <c r="R579" s="144"/>
      <c r="S579" s="144"/>
      <c r="T579" s="150"/>
      <c r="U579" s="145"/>
      <c r="V579" s="143"/>
      <c r="W579" s="143"/>
      <c r="X579" s="3"/>
      <c r="AB579" s="148"/>
      <c r="AC579" s="148"/>
    </row>
    <row r="580" spans="1:37" x14ac:dyDescent="0.25">
      <c r="E580" s="138"/>
      <c r="F580" s="173"/>
      <c r="G580" s="138"/>
      <c r="H580" s="115"/>
      <c r="I580" s="115"/>
      <c r="J580" s="115"/>
      <c r="K580" s="115"/>
      <c r="L580" s="115"/>
      <c r="M580" s="149"/>
      <c r="N580" s="149"/>
      <c r="O580" s="144"/>
      <c r="P580" s="143"/>
      <c r="Q580" s="144"/>
      <c r="R580" s="144"/>
      <c r="S580" s="144"/>
      <c r="T580" s="150"/>
      <c r="U580" s="145"/>
      <c r="V580" s="143"/>
      <c r="W580" s="143"/>
      <c r="X580" s="3"/>
      <c r="AB580" s="148"/>
      <c r="AC580" s="148"/>
    </row>
    <row r="581" spans="1:37" x14ac:dyDescent="0.25">
      <c r="E581" s="138"/>
      <c r="F581" s="173"/>
      <c r="G581" s="138"/>
      <c r="H581" s="115"/>
      <c r="I581" s="115"/>
      <c r="J581" s="115"/>
      <c r="K581" s="115"/>
      <c r="L581" s="115"/>
      <c r="M581" s="149"/>
      <c r="N581" s="149"/>
      <c r="O581" s="144"/>
      <c r="P581" s="143"/>
      <c r="Q581" s="144"/>
      <c r="R581" s="144"/>
      <c r="S581" s="144"/>
      <c r="T581" s="150"/>
      <c r="U581" s="145"/>
      <c r="V581" s="143"/>
      <c r="W581" s="143"/>
      <c r="X581" s="3"/>
      <c r="AB581" s="148"/>
      <c r="AC581" s="148"/>
    </row>
    <row r="582" spans="1:37" x14ac:dyDescent="0.25">
      <c r="E582" s="138"/>
      <c r="F582" s="173"/>
      <c r="G582" s="138"/>
      <c r="H582" s="115"/>
      <c r="I582" s="115"/>
      <c r="J582" s="115"/>
      <c r="K582" s="115"/>
      <c r="L582" s="115"/>
      <c r="M582" s="149"/>
      <c r="N582" s="149"/>
      <c r="O582" s="144"/>
      <c r="P582" s="143"/>
      <c r="Q582" s="144"/>
      <c r="R582" s="144"/>
      <c r="S582" s="144"/>
      <c r="T582" s="150"/>
      <c r="U582" s="145"/>
      <c r="V582" s="143"/>
      <c r="W582" s="143"/>
      <c r="X582" s="3"/>
      <c r="AB582" s="148"/>
      <c r="AC582" s="148"/>
    </row>
    <row r="583" spans="1:37" x14ac:dyDescent="0.25">
      <c r="E583" s="138"/>
      <c r="F583" s="173"/>
      <c r="G583" s="138"/>
      <c r="H583" s="115"/>
      <c r="I583" s="115"/>
      <c r="J583" s="115"/>
      <c r="K583" s="115"/>
      <c r="L583" s="115"/>
      <c r="M583" s="149"/>
      <c r="N583" s="149"/>
      <c r="O583" s="144"/>
      <c r="P583" s="143"/>
      <c r="Q583" s="144"/>
      <c r="R583" s="144"/>
      <c r="S583" s="144"/>
      <c r="T583" s="150"/>
      <c r="U583" s="145"/>
      <c r="V583" s="143"/>
      <c r="W583" s="143"/>
      <c r="X583" s="3"/>
      <c r="AB583" s="148"/>
      <c r="AC583" s="148"/>
    </row>
    <row r="584" spans="1:37" x14ac:dyDescent="0.25">
      <c r="E584" s="138"/>
      <c r="F584" s="173"/>
      <c r="G584" s="138"/>
      <c r="H584" s="115"/>
      <c r="I584" s="115"/>
      <c r="J584" s="115"/>
      <c r="K584" s="115"/>
      <c r="L584" s="115"/>
      <c r="M584" s="149"/>
      <c r="N584" s="149"/>
      <c r="O584" s="144"/>
      <c r="P584" s="143"/>
      <c r="Q584" s="144"/>
      <c r="R584" s="144"/>
      <c r="S584" s="144"/>
      <c r="T584" s="150"/>
      <c r="U584" s="145"/>
      <c r="V584" s="143"/>
      <c r="W584" s="143"/>
      <c r="X584" s="3"/>
      <c r="AB584" s="148"/>
      <c r="AC584" s="148"/>
    </row>
    <row r="585" spans="1:37" x14ac:dyDescent="0.25">
      <c r="E585" s="138"/>
      <c r="F585" s="173"/>
      <c r="G585" s="138"/>
      <c r="H585" s="115"/>
      <c r="I585" s="115"/>
      <c r="J585" s="115"/>
      <c r="K585" s="115"/>
      <c r="L585" s="115"/>
      <c r="M585" s="149"/>
      <c r="N585" s="149"/>
      <c r="O585" s="144"/>
      <c r="P585" s="143"/>
      <c r="Q585" s="144"/>
      <c r="R585" s="144"/>
      <c r="S585" s="144"/>
      <c r="T585" s="150"/>
      <c r="U585" s="145"/>
      <c r="V585" s="143"/>
      <c r="W585" s="143"/>
      <c r="X585" s="3"/>
      <c r="AB585" s="148"/>
      <c r="AC585" s="148"/>
    </row>
    <row r="586" spans="1:37" x14ac:dyDescent="0.25">
      <c r="E586" s="138"/>
      <c r="F586" s="173"/>
      <c r="G586" s="138"/>
      <c r="H586" s="115"/>
      <c r="I586" s="115"/>
      <c r="J586" s="115"/>
      <c r="K586" s="115"/>
      <c r="L586" s="115"/>
      <c r="M586" s="149"/>
      <c r="N586" s="149"/>
      <c r="O586" s="144"/>
      <c r="P586" s="143"/>
      <c r="Q586" s="144"/>
      <c r="R586" s="144"/>
      <c r="S586" s="144"/>
      <c r="T586" s="150"/>
      <c r="U586" s="145"/>
      <c r="V586" s="143"/>
      <c r="W586" s="143"/>
      <c r="X586" s="3"/>
      <c r="AB586" s="148"/>
      <c r="AC586" s="148"/>
    </row>
    <row r="587" spans="1:37" x14ac:dyDescent="0.25">
      <c r="A587" s="104"/>
      <c r="B587" s="104"/>
      <c r="C587" s="104"/>
      <c r="D587" s="104"/>
      <c r="E587" s="138"/>
      <c r="F587" s="173"/>
      <c r="G587" s="138"/>
      <c r="H587" s="115"/>
      <c r="I587" s="115"/>
      <c r="J587" s="115"/>
      <c r="K587" s="115"/>
      <c r="L587" s="115"/>
      <c r="M587" s="149"/>
      <c r="N587" s="149"/>
      <c r="O587" s="144"/>
      <c r="P587" s="143"/>
      <c r="Q587" s="144"/>
      <c r="R587" s="144"/>
      <c r="S587" s="144"/>
      <c r="T587" s="150"/>
      <c r="U587" s="145"/>
      <c r="V587" s="143"/>
      <c r="W587" s="143"/>
      <c r="X587" s="3"/>
      <c r="Y587" s="104"/>
      <c r="Z587" s="104"/>
      <c r="AA587" s="104"/>
      <c r="AB587" s="151"/>
      <c r="AC587" s="151"/>
      <c r="AD587" s="104"/>
      <c r="AE587" s="104"/>
      <c r="AF587" s="104"/>
      <c r="AG587" s="104"/>
      <c r="AH587" s="104"/>
      <c r="AI587" s="104"/>
      <c r="AJ587" s="104"/>
      <c r="AK587" s="104"/>
    </row>
    <row r="588" spans="1:37" x14ac:dyDescent="0.25">
      <c r="A588" s="104"/>
      <c r="B588" s="104"/>
      <c r="C588" s="104"/>
      <c r="D588" s="104"/>
      <c r="E588" s="138"/>
      <c r="F588" s="173"/>
      <c r="G588" s="138"/>
      <c r="H588" s="115"/>
      <c r="I588" s="115"/>
      <c r="J588" s="115"/>
      <c r="K588" s="115"/>
      <c r="L588" s="115"/>
      <c r="M588" s="149"/>
      <c r="N588" s="149"/>
      <c r="O588" s="144"/>
      <c r="P588" s="143"/>
      <c r="Q588" s="144"/>
      <c r="R588" s="144"/>
      <c r="S588" s="144"/>
      <c r="T588" s="150"/>
      <c r="U588" s="145"/>
      <c r="V588" s="143"/>
      <c r="W588" s="143"/>
      <c r="X588" s="3"/>
      <c r="Y588" s="104"/>
      <c r="Z588" s="104"/>
      <c r="AA588" s="104"/>
      <c r="AB588" s="151"/>
      <c r="AC588" s="151"/>
      <c r="AD588" s="104"/>
      <c r="AE588" s="104"/>
      <c r="AF588" s="104"/>
      <c r="AG588" s="104"/>
      <c r="AH588" s="104"/>
      <c r="AI588" s="104"/>
      <c r="AJ588" s="104"/>
      <c r="AK588" s="104"/>
    </row>
    <row r="589" spans="1:37" x14ac:dyDescent="0.25">
      <c r="A589" s="104"/>
      <c r="B589" s="104"/>
      <c r="C589" s="104"/>
      <c r="D589" s="104"/>
      <c r="E589" s="138"/>
      <c r="F589" s="173"/>
      <c r="G589" s="138"/>
      <c r="H589" s="115"/>
      <c r="I589" s="115"/>
      <c r="J589" s="115"/>
      <c r="K589" s="115"/>
      <c r="L589" s="115"/>
      <c r="M589" s="149"/>
      <c r="N589" s="149"/>
      <c r="O589" s="144"/>
      <c r="P589" s="143"/>
      <c r="Q589" s="144"/>
      <c r="R589" s="144"/>
      <c r="S589" s="144"/>
      <c r="T589" s="150"/>
      <c r="U589" s="145"/>
      <c r="V589" s="143"/>
      <c r="W589" s="143"/>
      <c r="X589" s="3"/>
      <c r="Y589" s="104"/>
      <c r="Z589" s="104"/>
      <c r="AA589" s="104"/>
      <c r="AB589" s="151"/>
      <c r="AC589" s="151"/>
      <c r="AD589" s="104"/>
      <c r="AE589" s="104"/>
      <c r="AF589" s="104"/>
      <c r="AG589" s="104"/>
      <c r="AH589" s="104"/>
      <c r="AI589" s="104"/>
      <c r="AJ589" s="104"/>
      <c r="AK589" s="104"/>
    </row>
    <row r="590" spans="1:37" x14ac:dyDescent="0.25">
      <c r="A590" s="104"/>
      <c r="B590" s="104"/>
      <c r="C590" s="104"/>
      <c r="D590" s="104"/>
      <c r="E590" s="138"/>
      <c r="F590" s="173"/>
      <c r="G590" s="138"/>
      <c r="H590" s="115"/>
      <c r="I590" s="115"/>
      <c r="J590" s="115"/>
      <c r="K590" s="115"/>
      <c r="L590" s="115"/>
      <c r="M590" s="149"/>
      <c r="N590" s="149"/>
      <c r="O590" s="144"/>
      <c r="P590" s="143"/>
      <c r="Q590" s="144"/>
      <c r="R590" s="144"/>
      <c r="S590" s="144"/>
      <c r="T590" s="150"/>
      <c r="U590" s="145"/>
      <c r="V590" s="143"/>
      <c r="W590" s="143"/>
      <c r="X590" s="3"/>
      <c r="Y590" s="104"/>
      <c r="Z590" s="104"/>
      <c r="AA590" s="104"/>
      <c r="AB590" s="151"/>
      <c r="AC590" s="151"/>
      <c r="AD590" s="104"/>
      <c r="AE590" s="104"/>
      <c r="AF590" s="104"/>
      <c r="AG590" s="104"/>
      <c r="AH590" s="104"/>
      <c r="AI590" s="104"/>
      <c r="AJ590" s="104"/>
      <c r="AK590" s="104"/>
    </row>
    <row r="591" spans="1:37" x14ac:dyDescent="0.25">
      <c r="A591" s="104"/>
      <c r="B591" s="104"/>
      <c r="C591" s="104"/>
      <c r="D591" s="104"/>
      <c r="E591" s="138"/>
      <c r="F591" s="173"/>
      <c r="G591" s="138"/>
      <c r="H591" s="115"/>
      <c r="I591" s="115"/>
      <c r="J591" s="115"/>
      <c r="K591" s="115"/>
      <c r="L591" s="115"/>
      <c r="M591" s="149"/>
      <c r="N591" s="149"/>
      <c r="O591" s="144"/>
      <c r="P591" s="143"/>
      <c r="Q591" s="144"/>
      <c r="R591" s="144"/>
      <c r="S591" s="144"/>
      <c r="T591" s="150"/>
      <c r="U591" s="145"/>
      <c r="V591" s="143"/>
      <c r="W591" s="143"/>
      <c r="X591" s="3"/>
      <c r="Y591" s="104"/>
      <c r="Z591" s="104"/>
      <c r="AA591" s="104"/>
      <c r="AB591" s="151"/>
      <c r="AC591" s="151"/>
      <c r="AD591" s="104"/>
      <c r="AE591" s="104"/>
      <c r="AF591" s="104"/>
      <c r="AG591" s="104"/>
      <c r="AH591" s="104"/>
      <c r="AI591" s="104"/>
      <c r="AJ591" s="104"/>
      <c r="AK591" s="104"/>
    </row>
    <row r="592" spans="1:37" x14ac:dyDescent="0.25">
      <c r="A592" s="104"/>
      <c r="B592" s="104"/>
      <c r="C592" s="104"/>
      <c r="D592" s="104"/>
      <c r="E592" s="138"/>
      <c r="F592" s="173"/>
      <c r="G592" s="138"/>
      <c r="H592" s="115"/>
      <c r="I592" s="115"/>
      <c r="J592" s="115"/>
      <c r="K592" s="115"/>
      <c r="L592" s="115"/>
      <c r="M592" s="149"/>
      <c r="N592" s="149"/>
      <c r="O592" s="144"/>
      <c r="P592" s="143"/>
      <c r="Q592" s="144"/>
      <c r="R592" s="144"/>
      <c r="S592" s="144"/>
      <c r="T592" s="150"/>
      <c r="U592" s="145"/>
      <c r="V592" s="143"/>
      <c r="W592" s="143"/>
      <c r="X592" s="3"/>
      <c r="Y592" s="104"/>
      <c r="Z592" s="104"/>
      <c r="AA592" s="104"/>
      <c r="AB592" s="151"/>
      <c r="AC592" s="151"/>
      <c r="AD592" s="104"/>
      <c r="AE592" s="104"/>
      <c r="AF592" s="104"/>
      <c r="AG592" s="104"/>
      <c r="AH592" s="104"/>
      <c r="AI592" s="104"/>
      <c r="AJ592" s="104"/>
      <c r="AK592" s="104"/>
    </row>
    <row r="593" spans="1:37" x14ac:dyDescent="0.25">
      <c r="A593" s="104"/>
      <c r="B593" s="104"/>
      <c r="C593" s="104"/>
      <c r="D593" s="104"/>
      <c r="E593" s="138"/>
      <c r="F593" s="173"/>
      <c r="G593" s="138"/>
      <c r="H593" s="115"/>
      <c r="I593" s="115"/>
      <c r="J593" s="115"/>
      <c r="K593" s="115"/>
      <c r="L593" s="115"/>
      <c r="M593" s="149"/>
      <c r="N593" s="149"/>
      <c r="O593" s="144"/>
      <c r="P593" s="143"/>
      <c r="Q593" s="144"/>
      <c r="R593" s="144"/>
      <c r="S593" s="144"/>
      <c r="T593" s="150"/>
      <c r="U593" s="145"/>
      <c r="V593" s="143"/>
      <c r="W593" s="143"/>
      <c r="X593" s="3"/>
      <c r="Y593" s="104"/>
      <c r="Z593" s="104"/>
      <c r="AA593" s="104"/>
      <c r="AB593" s="151"/>
      <c r="AC593" s="151"/>
      <c r="AD593" s="104"/>
      <c r="AE593" s="104"/>
      <c r="AF593" s="104"/>
      <c r="AG593" s="104"/>
      <c r="AH593" s="104"/>
      <c r="AI593" s="104"/>
      <c r="AJ593" s="104"/>
      <c r="AK593" s="104"/>
    </row>
    <row r="594" spans="1:37" x14ac:dyDescent="0.25">
      <c r="A594" s="104"/>
      <c r="B594" s="104"/>
      <c r="C594" s="104"/>
      <c r="D594" s="104"/>
      <c r="E594" s="138"/>
      <c r="F594" s="173"/>
      <c r="G594" s="138"/>
      <c r="H594" s="115"/>
      <c r="I594" s="115"/>
      <c r="J594" s="115"/>
      <c r="K594" s="115"/>
      <c r="L594" s="115"/>
      <c r="M594" s="149"/>
      <c r="N594" s="149"/>
      <c r="O594" s="144"/>
      <c r="P594" s="143"/>
      <c r="Q594" s="144"/>
      <c r="R594" s="144"/>
      <c r="S594" s="144"/>
      <c r="T594" s="150"/>
      <c r="U594" s="145"/>
      <c r="V594" s="143"/>
      <c r="W594" s="143"/>
      <c r="X594" s="3"/>
      <c r="Y594" s="104"/>
      <c r="Z594" s="104"/>
      <c r="AA594" s="104"/>
      <c r="AB594" s="151"/>
      <c r="AC594" s="151"/>
      <c r="AD594" s="104"/>
      <c r="AE594" s="104"/>
      <c r="AF594" s="104"/>
      <c r="AG594" s="104"/>
      <c r="AH594" s="104"/>
      <c r="AI594" s="104"/>
      <c r="AJ594" s="104"/>
      <c r="AK594" s="104"/>
    </row>
    <row r="595" spans="1:37" x14ac:dyDescent="0.25">
      <c r="A595" s="104"/>
      <c r="B595" s="104"/>
      <c r="C595" s="104"/>
      <c r="D595" s="104"/>
      <c r="E595" s="138"/>
      <c r="F595" s="173"/>
      <c r="G595" s="138"/>
      <c r="H595" s="115"/>
      <c r="I595" s="115"/>
      <c r="J595" s="115"/>
      <c r="K595" s="115"/>
      <c r="L595" s="115"/>
      <c r="M595" s="149"/>
      <c r="N595" s="149"/>
      <c r="O595" s="144"/>
      <c r="P595" s="143"/>
      <c r="Q595" s="144"/>
      <c r="R595" s="144"/>
      <c r="S595" s="144"/>
      <c r="T595" s="150"/>
      <c r="U595" s="145"/>
      <c r="V595" s="143"/>
      <c r="W595" s="143"/>
      <c r="X595" s="3"/>
      <c r="Y595" s="104"/>
      <c r="Z595" s="104"/>
      <c r="AA595" s="104"/>
      <c r="AB595" s="151"/>
      <c r="AC595" s="151"/>
      <c r="AD595" s="104"/>
      <c r="AE595" s="104"/>
      <c r="AF595" s="104"/>
      <c r="AG595" s="104"/>
      <c r="AH595" s="104"/>
      <c r="AI595" s="104"/>
      <c r="AJ595" s="104"/>
      <c r="AK595" s="104"/>
    </row>
    <row r="596" spans="1:37" x14ac:dyDescent="0.25">
      <c r="A596" s="104"/>
      <c r="B596" s="104"/>
      <c r="C596" s="104"/>
      <c r="D596" s="104"/>
      <c r="E596" s="138"/>
      <c r="F596" s="173"/>
      <c r="G596" s="138"/>
      <c r="H596" s="115"/>
      <c r="I596" s="115"/>
      <c r="J596" s="115"/>
      <c r="K596" s="115"/>
      <c r="L596" s="115"/>
      <c r="M596" s="149"/>
      <c r="N596" s="149"/>
      <c r="O596" s="144"/>
      <c r="P596" s="143"/>
      <c r="Q596" s="144"/>
      <c r="R596" s="144"/>
      <c r="S596" s="144"/>
      <c r="T596" s="150"/>
      <c r="U596" s="145"/>
      <c r="V596" s="143"/>
      <c r="W596" s="143"/>
      <c r="X596" s="3"/>
      <c r="Y596" s="104"/>
      <c r="Z596" s="104"/>
      <c r="AA596" s="104"/>
      <c r="AB596" s="151"/>
      <c r="AC596" s="151"/>
      <c r="AD596" s="104"/>
      <c r="AE596" s="104"/>
      <c r="AF596" s="104"/>
      <c r="AG596" s="104"/>
      <c r="AH596" s="104"/>
      <c r="AI596" s="104"/>
      <c r="AJ596" s="104"/>
      <c r="AK596" s="104"/>
    </row>
    <row r="597" spans="1:37" x14ac:dyDescent="0.25">
      <c r="A597" s="104"/>
      <c r="B597" s="104"/>
      <c r="C597" s="104"/>
      <c r="D597" s="104"/>
      <c r="E597" s="138"/>
      <c r="F597" s="173"/>
      <c r="G597" s="138"/>
      <c r="H597" s="115"/>
      <c r="I597" s="115"/>
      <c r="J597" s="115"/>
      <c r="K597" s="115"/>
      <c r="L597" s="115"/>
      <c r="M597" s="149"/>
      <c r="N597" s="149"/>
      <c r="O597" s="144"/>
      <c r="P597" s="143"/>
      <c r="Q597" s="144"/>
      <c r="R597" s="144"/>
      <c r="S597" s="144"/>
      <c r="T597" s="144"/>
      <c r="U597" s="145"/>
      <c r="V597" s="143"/>
      <c r="W597" s="143"/>
      <c r="X597" s="3"/>
      <c r="Y597" s="104"/>
      <c r="Z597" s="104"/>
      <c r="AA597" s="104"/>
      <c r="AB597" s="151"/>
      <c r="AC597" s="151"/>
      <c r="AD597" s="104"/>
      <c r="AE597" s="104"/>
      <c r="AF597" s="104"/>
      <c r="AG597" s="104"/>
      <c r="AH597" s="104"/>
      <c r="AI597" s="104"/>
      <c r="AJ597" s="104"/>
      <c r="AK597" s="104"/>
    </row>
    <row r="598" spans="1:37" x14ac:dyDescent="0.25">
      <c r="A598" s="104"/>
      <c r="B598" s="104"/>
      <c r="C598" s="104"/>
      <c r="D598" s="104"/>
      <c r="E598" s="138"/>
      <c r="F598" s="173"/>
      <c r="G598" s="138"/>
      <c r="H598" s="115"/>
      <c r="I598" s="115"/>
      <c r="J598" s="115"/>
      <c r="K598" s="115"/>
      <c r="L598" s="115"/>
      <c r="M598" s="149"/>
      <c r="N598" s="149"/>
      <c r="O598" s="144"/>
      <c r="P598" s="143"/>
      <c r="Q598" s="144"/>
      <c r="R598" s="144"/>
      <c r="S598" s="144"/>
      <c r="T598" s="144"/>
      <c r="U598" s="145"/>
      <c r="V598" s="143"/>
      <c r="W598" s="143"/>
      <c r="X598" s="3"/>
      <c r="Y598" s="104"/>
      <c r="Z598" s="104"/>
      <c r="AA598" s="104"/>
      <c r="AB598" s="151"/>
      <c r="AC598" s="151"/>
      <c r="AD598" s="104"/>
      <c r="AE598" s="104"/>
      <c r="AF598" s="104"/>
      <c r="AG598" s="104"/>
      <c r="AH598" s="104"/>
      <c r="AI598" s="104"/>
      <c r="AJ598" s="104"/>
      <c r="AK598" s="104"/>
    </row>
    <row r="599" spans="1:37" s="123" customFormat="1" x14ac:dyDescent="0.25">
      <c r="A599" s="104"/>
      <c r="B599" s="104"/>
      <c r="C599" s="104"/>
      <c r="D599" s="104"/>
      <c r="E599" s="138"/>
      <c r="F599" s="173"/>
      <c r="G599" s="138"/>
      <c r="H599" s="115"/>
      <c r="I599" s="115"/>
      <c r="J599" s="115"/>
      <c r="K599" s="115"/>
      <c r="L599" s="115"/>
      <c r="M599" s="149"/>
      <c r="N599" s="149"/>
      <c r="O599" s="144"/>
      <c r="P599" s="143"/>
      <c r="Q599" s="144"/>
      <c r="R599" s="144"/>
      <c r="S599" s="144"/>
      <c r="T599" s="144"/>
      <c r="U599" s="145"/>
      <c r="V599" s="143"/>
      <c r="W599" s="143"/>
      <c r="X599" s="3"/>
      <c r="Y599" s="104"/>
      <c r="Z599" s="104"/>
      <c r="AA599" s="104"/>
      <c r="AB599" s="151"/>
      <c r="AC599" s="151"/>
      <c r="AD599" s="104"/>
      <c r="AE599" s="104"/>
      <c r="AF599" s="104"/>
      <c r="AG599" s="104"/>
      <c r="AH599" s="104"/>
      <c r="AI599" s="104"/>
      <c r="AJ599" s="104"/>
      <c r="AK599" s="104"/>
    </row>
    <row r="600" spans="1:37" x14ac:dyDescent="0.25">
      <c r="A600" s="104"/>
      <c r="B600" s="104"/>
      <c r="C600" s="104"/>
      <c r="D600" s="104"/>
      <c r="E600" s="152"/>
      <c r="F600" s="173"/>
      <c r="G600" s="138"/>
      <c r="H600" s="115"/>
      <c r="I600" s="115"/>
      <c r="J600" s="115"/>
      <c r="K600" s="115"/>
      <c r="L600" s="115"/>
      <c r="M600" s="153"/>
      <c r="N600" s="153"/>
      <c r="O600" s="144"/>
      <c r="P600" s="143"/>
      <c r="Q600" s="108"/>
      <c r="R600" s="108"/>
      <c r="S600" s="144"/>
      <c r="T600" s="144"/>
      <c r="U600" s="200"/>
      <c r="V600" s="154"/>
      <c r="W600" s="155"/>
      <c r="X600" s="156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11"/>
      <c r="AI600" s="104"/>
      <c r="AJ600" s="104"/>
      <c r="AK600" s="104"/>
    </row>
    <row r="601" spans="1:37" x14ac:dyDescent="0.25">
      <c r="A601" s="104"/>
      <c r="B601" s="104"/>
      <c r="C601" s="104"/>
      <c r="D601" s="104"/>
      <c r="E601" s="152"/>
      <c r="F601" s="173"/>
      <c r="G601" s="138"/>
      <c r="H601" s="115"/>
      <c r="I601" s="115"/>
      <c r="J601" s="115"/>
      <c r="K601" s="115"/>
      <c r="L601" s="115"/>
      <c r="M601" s="153"/>
      <c r="N601" s="153"/>
      <c r="O601" s="144"/>
      <c r="P601" s="143"/>
      <c r="Q601" s="108"/>
      <c r="R601" s="108"/>
      <c r="S601" s="144"/>
      <c r="T601" s="144"/>
      <c r="U601" s="200"/>
      <c r="V601" s="154"/>
      <c r="W601" s="155"/>
      <c r="X601" s="156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57"/>
      <c r="AK601" s="104"/>
    </row>
    <row r="602" spans="1:37" x14ac:dyDescent="0.25">
      <c r="E602" s="152"/>
      <c r="F602" s="173"/>
      <c r="G602" s="138"/>
      <c r="H602" s="115"/>
      <c r="I602" s="115"/>
      <c r="J602" s="115"/>
      <c r="K602" s="115"/>
      <c r="L602" s="115"/>
      <c r="M602" s="158"/>
      <c r="N602" s="158"/>
      <c r="O602" s="144"/>
      <c r="Q602" s="108"/>
      <c r="R602" s="108"/>
      <c r="S602" s="144"/>
      <c r="T602" s="144"/>
      <c r="U602" s="159"/>
      <c r="V602" s="143"/>
      <c r="W602" s="160"/>
      <c r="X602" s="3"/>
    </row>
    <row r="603" spans="1:37" x14ac:dyDescent="0.25">
      <c r="E603" s="152"/>
      <c r="F603" s="173"/>
      <c r="G603" s="138"/>
      <c r="H603" s="115"/>
      <c r="I603" s="115"/>
      <c r="J603" s="115"/>
      <c r="K603" s="115"/>
      <c r="L603" s="115"/>
      <c r="M603" s="158"/>
      <c r="N603" s="158"/>
      <c r="O603" s="144"/>
      <c r="Q603" s="108"/>
      <c r="R603" s="108"/>
      <c r="S603" s="144"/>
      <c r="T603" s="144"/>
      <c r="U603" s="159"/>
      <c r="V603" s="143"/>
      <c r="W603" s="160"/>
      <c r="X603" s="3"/>
    </row>
    <row r="604" spans="1:37" x14ac:dyDescent="0.25">
      <c r="E604" s="152"/>
      <c r="F604" s="173"/>
      <c r="G604" s="138"/>
      <c r="H604" s="115"/>
      <c r="I604" s="115"/>
      <c r="J604" s="115"/>
      <c r="K604" s="115"/>
      <c r="L604" s="115"/>
      <c r="M604" s="158"/>
      <c r="N604" s="158"/>
      <c r="O604" s="144"/>
      <c r="Q604" s="108"/>
      <c r="R604" s="108"/>
      <c r="S604" s="144"/>
      <c r="T604" s="144"/>
      <c r="U604" s="159"/>
      <c r="V604" s="143"/>
      <c r="W604" s="160"/>
      <c r="X604" s="3"/>
    </row>
    <row r="605" spans="1:37" x14ac:dyDescent="0.25">
      <c r="E605" s="152"/>
      <c r="F605" s="173"/>
      <c r="G605" s="138"/>
      <c r="H605" s="115"/>
      <c r="I605" s="115"/>
      <c r="J605" s="115"/>
      <c r="K605" s="115"/>
      <c r="L605" s="115"/>
      <c r="M605" s="158"/>
      <c r="N605" s="158"/>
      <c r="O605" s="144"/>
      <c r="Q605" s="108"/>
      <c r="R605" s="108"/>
      <c r="S605" s="144"/>
      <c r="T605" s="144"/>
      <c r="U605" s="159"/>
      <c r="V605" s="143"/>
      <c r="W605" s="160"/>
      <c r="X605" s="3"/>
    </row>
    <row r="606" spans="1:37" x14ac:dyDescent="0.25">
      <c r="E606" s="152"/>
      <c r="F606" s="173"/>
      <c r="G606" s="138"/>
      <c r="H606" s="115"/>
      <c r="I606" s="115"/>
      <c r="J606" s="115"/>
      <c r="K606" s="115"/>
      <c r="L606" s="115"/>
      <c r="M606" s="158"/>
      <c r="N606" s="158"/>
      <c r="O606" s="144"/>
      <c r="Q606" s="108"/>
      <c r="R606" s="108"/>
      <c r="S606" s="144"/>
      <c r="T606" s="144"/>
      <c r="U606" s="159"/>
      <c r="V606" s="143"/>
      <c r="W606" s="160"/>
      <c r="X606" s="3"/>
    </row>
    <row r="607" spans="1:37" x14ac:dyDescent="0.25">
      <c r="E607" s="152"/>
      <c r="F607" s="173"/>
      <c r="G607" s="138"/>
      <c r="H607" s="115"/>
      <c r="I607" s="115"/>
      <c r="J607" s="115"/>
      <c r="K607" s="115"/>
      <c r="L607" s="115"/>
      <c r="M607" s="158"/>
      <c r="N607" s="158"/>
      <c r="O607" s="144"/>
      <c r="Q607" s="108"/>
      <c r="R607" s="108"/>
      <c r="S607" s="144"/>
      <c r="T607" s="144"/>
      <c r="U607" s="159"/>
      <c r="V607" s="143"/>
      <c r="W607" s="160"/>
      <c r="X607" s="3"/>
    </row>
    <row r="608" spans="1:37" x14ac:dyDescent="0.25">
      <c r="E608" s="152"/>
      <c r="F608" s="173"/>
      <c r="G608" s="138"/>
      <c r="H608" s="115"/>
      <c r="I608" s="115"/>
      <c r="J608" s="115"/>
      <c r="K608" s="115"/>
      <c r="L608" s="115"/>
      <c r="M608" s="158"/>
      <c r="N608" s="158"/>
      <c r="O608" s="144"/>
      <c r="Q608" s="108"/>
      <c r="R608" s="108"/>
      <c r="S608" s="144"/>
      <c r="T608" s="144"/>
      <c r="U608" s="159"/>
      <c r="V608" s="143"/>
      <c r="W608" s="160"/>
      <c r="X608" s="3"/>
    </row>
    <row r="609" spans="5:24" x14ac:dyDescent="0.25">
      <c r="E609" s="152"/>
      <c r="F609" s="173"/>
      <c r="G609" s="138"/>
      <c r="H609" s="115"/>
      <c r="I609" s="115"/>
      <c r="J609" s="115"/>
      <c r="K609" s="115"/>
      <c r="L609" s="115"/>
      <c r="M609" s="158"/>
      <c r="N609" s="158"/>
      <c r="O609" s="144"/>
      <c r="Q609" s="108"/>
      <c r="R609" s="108"/>
      <c r="S609" s="144"/>
      <c r="T609" s="144"/>
      <c r="U609" s="159"/>
      <c r="V609" s="143"/>
      <c r="W609" s="160"/>
      <c r="X609" s="3"/>
    </row>
    <row r="610" spans="5:24" x14ac:dyDescent="0.25">
      <c r="E610" s="152"/>
      <c r="F610" s="173"/>
      <c r="G610" s="138"/>
      <c r="H610" s="115"/>
      <c r="I610" s="115"/>
      <c r="J610" s="115"/>
      <c r="K610" s="115"/>
      <c r="L610" s="115"/>
      <c r="M610" s="158"/>
      <c r="N610" s="158"/>
      <c r="O610" s="144"/>
      <c r="Q610" s="108"/>
      <c r="R610" s="108"/>
      <c r="S610" s="144"/>
      <c r="T610" s="144"/>
      <c r="V610" s="14"/>
      <c r="W610" s="161"/>
      <c r="X610" s="3"/>
    </row>
    <row r="611" spans="5:24" x14ac:dyDescent="0.25">
      <c r="E611" s="152"/>
      <c r="F611" s="173"/>
      <c r="G611" s="138"/>
      <c r="H611" s="115"/>
      <c r="I611" s="115"/>
      <c r="J611" s="115"/>
      <c r="K611" s="115"/>
      <c r="L611" s="115"/>
      <c r="M611" s="158"/>
      <c r="N611" s="158"/>
      <c r="O611" s="144"/>
      <c r="Q611" s="108"/>
      <c r="R611" s="108"/>
      <c r="S611" s="144"/>
      <c r="T611" s="144"/>
      <c r="V611" s="14"/>
      <c r="W611" s="161"/>
      <c r="X611" s="3"/>
    </row>
  </sheetData>
  <mergeCells count="2">
    <mergeCell ref="O6:Q6"/>
    <mergeCell ref="S6:T6"/>
  </mergeCells>
  <pageMargins left="0.7" right="0.7" top="0.75" bottom="0.75" header="0.3" footer="0.3"/>
  <pageSetup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tabSelected="1" zoomScale="180" zoomScaleNormal="180" workbookViewId="0">
      <selection activeCell="H13" sqref="H13"/>
    </sheetView>
  </sheetViews>
  <sheetFormatPr defaultRowHeight="15" x14ac:dyDescent="0.25"/>
  <cols>
    <col min="1" max="1" width="6.85546875" customWidth="1"/>
    <col min="2" max="2" width="6.5703125" customWidth="1"/>
    <col min="3" max="3" width="10.85546875" bestFit="1" customWidth="1"/>
    <col min="4" max="4" width="11.7109375" customWidth="1"/>
    <col min="5" max="5" width="12.42578125" customWidth="1"/>
    <col min="6" max="7" width="13.28515625" customWidth="1"/>
    <col min="8" max="8" width="18.140625" customWidth="1"/>
    <col min="9" max="10" width="14" customWidth="1"/>
    <col min="11" max="11" width="36.7109375" customWidth="1"/>
    <col min="12" max="12" width="49" customWidth="1"/>
    <col min="13" max="13" width="23.140625" customWidth="1"/>
    <col min="14" max="14" width="10" customWidth="1"/>
    <col min="16" max="17" width="13.28515625" customWidth="1"/>
    <col min="19" max="19" width="9.7109375" bestFit="1" customWidth="1"/>
  </cols>
  <sheetData>
    <row r="1" spans="1:21" ht="20.25" customHeight="1" thickBot="1" x14ac:dyDescent="0.3">
      <c r="A1" t="s">
        <v>3</v>
      </c>
      <c r="B1">
        <v>5000</v>
      </c>
    </row>
    <row r="2" spans="1:21" x14ac:dyDescent="0.25">
      <c r="E2" s="14">
        <v>0.5</v>
      </c>
      <c r="F2" s="214" t="s">
        <v>95</v>
      </c>
      <c r="G2" s="23"/>
      <c r="H2" s="23" t="s">
        <v>104</v>
      </c>
    </row>
    <row r="3" spans="1:21" x14ac:dyDescent="0.25">
      <c r="A3" s="15" t="s">
        <v>0</v>
      </c>
      <c r="B3" s="15" t="s">
        <v>2</v>
      </c>
      <c r="E3" s="10" t="s">
        <v>6</v>
      </c>
      <c r="F3" s="50">
        <f>SUM(F4:F39)</f>
        <v>0.93964086830956106</v>
      </c>
      <c r="G3" s="50"/>
      <c r="H3" s="208"/>
      <c r="I3" s="216">
        <f>SUM(I4:I39)</f>
        <v>12.129844430928117</v>
      </c>
      <c r="J3" s="216">
        <f>SUM(I4:I13)</f>
        <v>8.1307230639703878</v>
      </c>
      <c r="K3" s="5" t="s">
        <v>107</v>
      </c>
      <c r="L3" s="5"/>
      <c r="M3" s="5"/>
      <c r="N3" s="7"/>
      <c r="O3" s="7"/>
      <c r="P3" s="7"/>
      <c r="Q3" s="7"/>
      <c r="R3" s="5"/>
      <c r="S3" s="5"/>
    </row>
    <row r="4" spans="1:21" ht="18" x14ac:dyDescent="0.35">
      <c r="A4" s="1">
        <v>70</v>
      </c>
      <c r="B4" s="1">
        <v>1</v>
      </c>
      <c r="C4" s="45">
        <f>'základné pravdepodobnosti 2021'!C75</f>
        <v>3.3576208414515571E-2</v>
      </c>
      <c r="D4" s="34">
        <f>1-C4</f>
        <v>0.96642379158548442</v>
      </c>
      <c r="E4" s="34">
        <f>1/(1+$E$2/100)^B4</f>
        <v>0.99502487562189068</v>
      </c>
      <c r="F4" s="49">
        <f>C4*E4</f>
        <v>3.3409162601508037E-2</v>
      </c>
      <c r="G4" s="49">
        <f>C4*E4</f>
        <v>3.3409162601508037E-2</v>
      </c>
      <c r="H4" s="215">
        <f>B1*F3</f>
        <v>4698.2043415478056</v>
      </c>
      <c r="I4" s="25">
        <f>1</f>
        <v>1</v>
      </c>
      <c r="J4" s="25"/>
      <c r="K4" s="24">
        <f>B1*F3/I3</f>
        <v>387.32601793049724</v>
      </c>
      <c r="L4" s="224" t="s">
        <v>105</v>
      </c>
      <c r="M4" s="25"/>
      <c r="N4" s="8"/>
      <c r="O4" s="5"/>
      <c r="P4" s="49"/>
      <c r="Q4" s="9"/>
      <c r="R4" s="5"/>
      <c r="S4" s="8"/>
      <c r="T4" s="36"/>
      <c r="U4" s="36"/>
    </row>
    <row r="5" spans="1:21" ht="15.75" thickBot="1" x14ac:dyDescent="0.3">
      <c r="A5" s="1">
        <v>71</v>
      </c>
      <c r="B5" s="1">
        <v>2</v>
      </c>
      <c r="C5" s="45">
        <f>'základné pravdepodobnosti 2021'!C76</f>
        <v>3.6439182521974742E-2</v>
      </c>
      <c r="D5" s="34">
        <f t="shared" ref="D5:D39" si="0">1-C5</f>
        <v>0.96356081747802524</v>
      </c>
      <c r="E5" s="34">
        <f>1/(1+$E$2/100)^B5</f>
        <v>0.99007450310635903</v>
      </c>
      <c r="F5" s="46">
        <f>(D4-PRODUCT(D4:D5))*E5</f>
        <v>3.4866159684326992E-2</v>
      </c>
      <c r="G5" s="46">
        <f>D4*C5*E5</f>
        <v>3.4866159684326978E-2</v>
      </c>
      <c r="H5" s="25"/>
      <c r="I5" s="25">
        <f>D4*E4</f>
        <v>0.96161571302038262</v>
      </c>
      <c r="J5" s="25"/>
      <c r="K5" s="8">
        <f>B1*F3/J3</f>
        <v>577.8335216417496</v>
      </c>
      <c r="L5" s="5">
        <f>PRODUCT(D4:D38)*E39</f>
        <v>3.5936005618793614E-5</v>
      </c>
      <c r="M5" s="25">
        <f>J3-11/24*(1-L5)</f>
        <v>7.6724062013062966</v>
      </c>
      <c r="N5" s="5"/>
      <c r="O5" s="5"/>
      <c r="P5" s="8"/>
      <c r="Q5" s="5"/>
      <c r="R5" s="5"/>
      <c r="S5" s="5"/>
    </row>
    <row r="6" spans="1:21" x14ac:dyDescent="0.25">
      <c r="A6" s="1">
        <v>72</v>
      </c>
      <c r="B6" s="1">
        <v>3</v>
      </c>
      <c r="C6" s="45">
        <f>'základné pravdepodobnosti 2021'!C77</f>
        <v>3.9394860506877766E-2</v>
      </c>
      <c r="D6" s="34">
        <f t="shared" si="0"/>
        <v>0.96060513949312221</v>
      </c>
      <c r="E6" s="34">
        <f>1/(1+$E$2/100)^B6</f>
        <v>0.98514875930981005</v>
      </c>
      <c r="F6" s="47">
        <f>(PRODUCT($D$4:D5)-PRODUCT($D$4:D6))*E6</f>
        <v>3.6139998159450876E-2</v>
      </c>
      <c r="G6" s="47">
        <f>PRODUCT($D$4:D5)*C6*E6</f>
        <v>3.6139998159450827E-2</v>
      </c>
      <c r="H6" s="214" t="s">
        <v>96</v>
      </c>
      <c r="I6" s="25">
        <f>PRODUCT($D$4:D5)*E5</f>
        <v>0.92196539555983492</v>
      </c>
      <c r="J6" s="25"/>
      <c r="K6" s="225" t="s">
        <v>106</v>
      </c>
      <c r="L6" s="5"/>
      <c r="M6" s="5"/>
      <c r="N6" s="5"/>
      <c r="O6" s="5"/>
      <c r="P6" s="5"/>
      <c r="Q6" s="5"/>
      <c r="R6" s="5"/>
      <c r="S6" s="5"/>
    </row>
    <row r="7" spans="1:21" x14ac:dyDescent="0.25">
      <c r="A7" s="1">
        <v>73</v>
      </c>
      <c r="B7" s="1">
        <v>4</v>
      </c>
      <c r="C7" s="45">
        <f>'základné pravdepodobnosti 2021'!C78</f>
        <v>4.2877879406435053E-2</v>
      </c>
      <c r="D7" s="34">
        <f t="shared" si="0"/>
        <v>0.95712212059356494</v>
      </c>
      <c r="E7" s="34">
        <f t="shared" ref="E7:E39" si="1">1/(1+$E$2/100)^B7</f>
        <v>0.9802475217013038</v>
      </c>
      <c r="F7" s="47">
        <f>(PRODUCT($D$4:D6)-PRODUCT($D$4:D7))*E7</f>
        <v>3.7597650090321476E-2</v>
      </c>
      <c r="G7" s="47">
        <f>PRODUCT($D$4:D6)*C7*E7</f>
        <v>3.7597650090321469E-2</v>
      </c>
      <c r="H7" s="218">
        <f>SUM(F6:F39)</f>
        <v>0.87136554602372596</v>
      </c>
      <c r="I7" s="25">
        <f>PRODUCT($D$4:D6)*E6</f>
        <v>0.88123850488516109</v>
      </c>
      <c r="J7" s="25"/>
      <c r="K7" s="71">
        <f>B1*H7/I3</f>
        <v>359.18249033844097</v>
      </c>
      <c r="L7" s="5"/>
      <c r="M7" s="5"/>
      <c r="N7" s="5"/>
      <c r="O7" s="5"/>
      <c r="P7" s="5"/>
      <c r="Q7" s="5"/>
      <c r="R7" s="5"/>
      <c r="S7" s="5"/>
    </row>
    <row r="8" spans="1:21" ht="17.25" customHeight="1" x14ac:dyDescent="0.25">
      <c r="A8" s="1">
        <v>74</v>
      </c>
      <c r="B8" s="1">
        <v>5</v>
      </c>
      <c r="C8" s="45">
        <f>'základné pravdepodobnosti 2021'!C79</f>
        <v>4.5988822084573416E-2</v>
      </c>
      <c r="D8" s="34">
        <f t="shared" si="0"/>
        <v>0.95401117791542656</v>
      </c>
      <c r="E8" s="34">
        <f>1/(1+$E$2/100)^B8</f>
        <v>0.97537066835950648</v>
      </c>
      <c r="F8" s="47">
        <f>(PRODUCT($D$4:D7)-PRODUCT($D$4:D8))*E8</f>
        <v>3.8404399709149183E-2</v>
      </c>
      <c r="G8" s="47">
        <f>PRODUCT($D$4:D7)*C8*E8</f>
        <v>3.8404399709149106E-2</v>
      </c>
      <c r="H8" s="217" t="s">
        <v>97</v>
      </c>
      <c r="I8" s="25">
        <f>PRODUCT($D$4:D7)*E7</f>
        <v>0.83925658362625699</v>
      </c>
      <c r="J8" s="25"/>
      <c r="K8" s="71">
        <f>B1*H7/J3</f>
        <v>535.84751268002321</v>
      </c>
      <c r="L8" s="5"/>
      <c r="M8" s="5"/>
      <c r="N8" s="5"/>
      <c r="O8" s="5"/>
      <c r="P8" s="5"/>
      <c r="Q8" s="245"/>
      <c r="R8" s="245"/>
      <c r="S8" s="5"/>
    </row>
    <row r="9" spans="1:21" x14ac:dyDescent="0.25">
      <c r="A9" s="1">
        <v>75</v>
      </c>
      <c r="B9" s="1">
        <v>6</v>
      </c>
      <c r="C9" s="45">
        <f>'základné pravdepodobnosti 2021'!C80</f>
        <v>5.0893397860034509E-2</v>
      </c>
      <c r="D9" s="34">
        <f>1-C9</f>
        <v>0.94910660213996545</v>
      </c>
      <c r="E9" s="34">
        <f t="shared" si="1"/>
        <v>0.97051807796965839</v>
      </c>
      <c r="F9" s="47">
        <f>(PRODUCT($D$4:D8)-PRODUCT($D$4:D9))*E9</f>
        <v>4.0343868885622747E-2</v>
      </c>
      <c r="G9" s="47">
        <f>PRODUCT($D$4:D8)*C9*E9</f>
        <v>4.0343868885622677E-2</v>
      </c>
      <c r="H9" s="24">
        <f>B1*H7</f>
        <v>4356.8277301186299</v>
      </c>
      <c r="I9" s="25">
        <f>PRODUCT($D$4:D8)*E8</f>
        <v>0.79667677802842018</v>
      </c>
      <c r="J9" s="25"/>
      <c r="K9" s="40" t="s">
        <v>13</v>
      </c>
      <c r="L9" s="27">
        <v>5</v>
      </c>
      <c r="M9" s="25">
        <f>I3-11/24</f>
        <v>11.671511097594783</v>
      </c>
      <c r="N9" s="5"/>
      <c r="O9" s="5"/>
      <c r="P9" s="5"/>
      <c r="Q9" s="8"/>
      <c r="R9" s="5"/>
      <c r="S9" s="5"/>
      <c r="T9" s="36"/>
    </row>
    <row r="10" spans="1:21" x14ac:dyDescent="0.25">
      <c r="A10" s="1">
        <v>76</v>
      </c>
      <c r="B10" s="1">
        <v>7</v>
      </c>
      <c r="C10" s="45">
        <f>'základné pravdepodobnosti 2021'!C81</f>
        <v>5.5853423171573643E-2</v>
      </c>
      <c r="D10" s="34">
        <f t="shared" si="0"/>
        <v>0.9441465768284264</v>
      </c>
      <c r="E10" s="34">
        <f t="shared" si="1"/>
        <v>0.96568962982055562</v>
      </c>
      <c r="F10" s="47">
        <f>(PRODUCT($D$4:D9)-PRODUCT($D$4:D10))*E10</f>
        <v>4.1813336617443936E-2</v>
      </c>
      <c r="G10" s="47">
        <f>PRODUCT($D$4:D9)*C10*E10</f>
        <v>4.1813336617443922E-2</v>
      </c>
      <c r="H10" s="25"/>
      <c r="I10" s="25">
        <f>PRODUCT($D$4:D9)*E9</f>
        <v>0.75236934308295467</v>
      </c>
      <c r="J10" s="25"/>
      <c r="K10" s="40" t="s">
        <v>13</v>
      </c>
      <c r="L10" s="27">
        <v>0.2</v>
      </c>
      <c r="M10" s="5"/>
      <c r="N10" s="5"/>
      <c r="O10" s="5"/>
      <c r="P10" s="5"/>
      <c r="Q10" s="5"/>
      <c r="R10" s="5"/>
      <c r="S10" s="5"/>
    </row>
    <row r="11" spans="1:21" x14ac:dyDescent="0.25">
      <c r="A11" s="1">
        <v>77</v>
      </c>
      <c r="B11" s="1">
        <v>8</v>
      </c>
      <c r="C11" s="45">
        <f>'základné pravdepodobnosti 2021'!C82</f>
        <v>6.2278173590920013E-2</v>
      </c>
      <c r="D11" s="34">
        <f t="shared" si="0"/>
        <v>0.93772182640907997</v>
      </c>
      <c r="E11" s="34">
        <f t="shared" si="1"/>
        <v>0.96088520380154796</v>
      </c>
      <c r="F11" s="47">
        <f>(PRODUCT($D$4:D10)-PRODUCT($D$4:D11))*E11</f>
        <v>4.380001487641251E-2</v>
      </c>
      <c r="G11" s="47">
        <f>PRODUCT($D$4:D10)*C11*E11</f>
        <v>4.3800014876412545E-2</v>
      </c>
      <c r="H11" s="25"/>
      <c r="I11" s="25">
        <f>PRODUCT($D$4:D10)*E10</f>
        <v>0.7068128754053965</v>
      </c>
      <c r="J11" s="25"/>
      <c r="K11" s="40" t="s">
        <v>13</v>
      </c>
      <c r="L11" s="27">
        <v>1</v>
      </c>
      <c r="M11" s="5"/>
      <c r="N11" s="5"/>
      <c r="O11" s="5"/>
      <c r="P11" s="5"/>
      <c r="Q11" s="5"/>
      <c r="R11" s="5"/>
      <c r="S11" s="5"/>
    </row>
    <row r="12" spans="1:21" x14ac:dyDescent="0.25">
      <c r="A12" s="1">
        <v>78</v>
      </c>
      <c r="B12" s="1">
        <v>9</v>
      </c>
      <c r="C12" s="45">
        <f>'základné pravdepodobnosti 2021'!C83</f>
        <v>6.8458949541259709E-2</v>
      </c>
      <c r="D12" s="34">
        <f t="shared" si="0"/>
        <v>0.93154105045874025</v>
      </c>
      <c r="E12" s="34">
        <f t="shared" si="1"/>
        <v>0.95610468039955032</v>
      </c>
      <c r="F12" s="47">
        <f>(PRODUCT($D$4:D11)-PRODUCT($D$4:D12))*E12</f>
        <v>4.4923810251348562E-2</v>
      </c>
      <c r="G12" s="47">
        <f>PRODUCT($D$4:D11)*C12*E12</f>
        <v>4.4923810251348562E-2</v>
      </c>
      <c r="H12" s="25"/>
      <c r="I12" s="25">
        <f>PRODUCT($D$4:D11)*E11</f>
        <v>0.65949637856179311</v>
      </c>
      <c r="J12" s="25"/>
      <c r="K12" s="223" t="s">
        <v>99</v>
      </c>
      <c r="L12" s="222">
        <f>B1*F3/I3</f>
        <v>387.32601793049724</v>
      </c>
      <c r="M12" s="5"/>
      <c r="N12" s="5"/>
      <c r="O12" s="5"/>
      <c r="P12" s="5"/>
      <c r="Q12" s="5"/>
      <c r="R12" s="5"/>
      <c r="S12" s="5"/>
    </row>
    <row r="13" spans="1:21" x14ac:dyDescent="0.25">
      <c r="A13" s="1">
        <v>79</v>
      </c>
      <c r="B13" s="1">
        <v>10</v>
      </c>
      <c r="C13" s="45">
        <f>'základné pravdepodobnosti 2021'!C84</f>
        <v>7.5911013722041218E-2</v>
      </c>
      <c r="D13" s="34">
        <f t="shared" si="0"/>
        <v>0.92408898627795877</v>
      </c>
      <c r="E13" s="34">
        <f t="shared" si="1"/>
        <v>0.95134794069607009</v>
      </c>
      <c r="F13" s="47">
        <f>(PRODUCT($D$4:D12)-PRODUCT($D$4:D13))*E13</f>
        <v>4.6172892360409036E-2</v>
      </c>
      <c r="G13" s="47">
        <f>PRODUCT($D$4:D12)*C13*E13</f>
        <v>4.6172892360408994E-2</v>
      </c>
      <c r="H13" s="25"/>
      <c r="I13" s="25">
        <f>PRODUCT($D$4:D12)*E12</f>
        <v>0.61129149180018694</v>
      </c>
      <c r="J13" s="25"/>
      <c r="K13" s="223" t="s">
        <v>102</v>
      </c>
      <c r="L13" s="219" t="s">
        <v>94</v>
      </c>
      <c r="M13" s="30" t="s">
        <v>8</v>
      </c>
      <c r="N13" s="5"/>
      <c r="O13" s="5"/>
      <c r="P13" s="29"/>
      <c r="Q13" s="5"/>
      <c r="R13" s="5"/>
      <c r="S13" s="5"/>
    </row>
    <row r="14" spans="1:21" x14ac:dyDescent="0.25">
      <c r="A14" s="1">
        <v>80</v>
      </c>
      <c r="B14" s="1">
        <v>11</v>
      </c>
      <c r="C14" s="45">
        <f>'základné pravdepodobnosti 2021'!C85</f>
        <v>8.2167038289521516E-2</v>
      </c>
      <c r="D14" s="34">
        <f t="shared" si="0"/>
        <v>0.91783296171047846</v>
      </c>
      <c r="E14" s="34">
        <f t="shared" si="1"/>
        <v>0.94661486636424896</v>
      </c>
      <c r="F14" s="47">
        <f>(PRODUCT($D$4:D13)-PRODUCT($D$4:D14))*E14</f>
        <v>4.5954458700741489E-2</v>
      </c>
      <c r="G14" s="47">
        <f>PRODUCT($D$4:D13)*C14*E14</f>
        <v>4.5954458700741503E-2</v>
      </c>
      <c r="H14" s="25"/>
      <c r="I14" s="25">
        <f>PRODUCT($D$4:D13)*E13</f>
        <v>0.5620773482367919</v>
      </c>
      <c r="J14" s="25"/>
      <c r="K14" s="5"/>
      <c r="L14" s="8">
        <f>B1*(F3+L9/100+L10/100*I3)/((1-L11/100)*I3)</f>
        <v>422.15791916074198</v>
      </c>
      <c r="M14" s="8">
        <f>B1*(F3+L9/100+L10/100*M9)/(12*(1-L11/100)*M9)</f>
        <v>36.528262509561984</v>
      </c>
      <c r="N14" s="5"/>
      <c r="O14" s="5"/>
      <c r="P14" s="8"/>
      <c r="Q14" s="5"/>
      <c r="R14" s="5"/>
      <c r="S14" s="5"/>
    </row>
    <row r="15" spans="1:21" x14ac:dyDescent="0.25">
      <c r="A15" s="1">
        <v>81</v>
      </c>
      <c r="B15" s="1">
        <v>12</v>
      </c>
      <c r="C15" s="45">
        <f>'základné pravdepodobnosti 2021'!C86</f>
        <v>9.0630089936738004E-2</v>
      </c>
      <c r="D15" s="34">
        <f t="shared" si="0"/>
        <v>0.90936991006326195</v>
      </c>
      <c r="E15" s="34">
        <f t="shared" si="1"/>
        <v>0.94190533966591972</v>
      </c>
      <c r="F15" s="47">
        <f>(PRODUCT($D$4:D14)-PRODUCT($D$4:D15))*E15</f>
        <v>4.6291368642792201E-2</v>
      </c>
      <c r="G15" s="47">
        <f>PRODUCT($D$4:D14)*C15*E15</f>
        <v>4.6291368642792166E-2</v>
      </c>
      <c r="H15" s="25"/>
      <c r="I15" s="25">
        <f>PRODUCT($D$4:D14)*E14</f>
        <v>0.51332648481845455</v>
      </c>
      <c r="J15" s="25"/>
      <c r="K15" s="221" t="s">
        <v>103</v>
      </c>
      <c r="L15" s="222">
        <f>B1*F3/J3</f>
        <v>577.8335216417496</v>
      </c>
      <c r="M15" s="28"/>
      <c r="N15" s="28"/>
      <c r="O15" s="28"/>
      <c r="P15" s="5"/>
      <c r="Q15" s="5"/>
      <c r="R15" s="5"/>
      <c r="S15" s="5"/>
    </row>
    <row r="16" spans="1:21" x14ac:dyDescent="0.25">
      <c r="A16" s="1">
        <v>82</v>
      </c>
      <c r="B16" s="1">
        <v>13</v>
      </c>
      <c r="C16" s="45">
        <f>'základné pravdepodobnosti 2021'!C87</f>
        <v>9.9530929772906396E-2</v>
      </c>
      <c r="D16" s="34">
        <f t="shared" si="0"/>
        <v>0.90046907022709366</v>
      </c>
      <c r="E16" s="34">
        <f t="shared" si="1"/>
        <v>0.93721924344867635</v>
      </c>
      <c r="F16" s="47">
        <f>(PRODUCT($D$4:D15)-PRODUCT($D$4:D16))*E16</f>
        <v>4.6000249731198387E-2</v>
      </c>
      <c r="G16" s="47">
        <f>PRODUCT($D$4:D15)*C16*E16</f>
        <v>4.6000249731198393E-2</v>
      </c>
      <c r="H16" s="25"/>
      <c r="I16" s="25">
        <f>PRODUCT($D$4:D15)*E15</f>
        <v>0.46448125306711302</v>
      </c>
      <c r="J16" s="25"/>
      <c r="K16" s="5"/>
      <c r="L16" s="219" t="s">
        <v>98</v>
      </c>
      <c r="M16" s="220">
        <f>B1*(F3+L9/100+L10/100*M9)/(12*(1-L11/100)*M5)</f>
        <v>55.5679678669281</v>
      </c>
      <c r="N16" s="5"/>
      <c r="O16" s="5"/>
      <c r="P16" s="5"/>
      <c r="Q16" s="5"/>
      <c r="R16" s="5"/>
      <c r="S16" s="5"/>
    </row>
    <row r="17" spans="1:19" x14ac:dyDescent="0.25">
      <c r="A17" s="1">
        <v>83</v>
      </c>
      <c r="B17" s="1">
        <v>14</v>
      </c>
      <c r="C17" s="45">
        <f>'základné pravdepodobnosti 2021'!C88</f>
        <v>0.11121477599845658</v>
      </c>
      <c r="D17" s="34">
        <f t="shared" si="0"/>
        <v>0.88878522400154347</v>
      </c>
      <c r="E17" s="34">
        <f t="shared" si="1"/>
        <v>0.93255646114296176</v>
      </c>
      <c r="F17" s="47">
        <f>(PRODUCT($D$4:D16)-PRODUCT($D$4:D17))*E17</f>
        <v>4.6054000156693607E-2</v>
      </c>
      <c r="G17" s="47">
        <f>PRODUCT($D$4:D16)*C17*E17</f>
        <v>4.6054000156693621E-2</v>
      </c>
      <c r="H17" s="25"/>
      <c r="I17" s="25">
        <f>PRODUCT($D$4:D16)*E16</f>
        <v>0.41617015133060559</v>
      </c>
      <c r="J17" s="25"/>
      <c r="K17" s="5"/>
      <c r="L17" s="8">
        <f>B1*(F3+L9/100+L10/100*I3)/((1-L11/100)*J3)</f>
        <v>629.79760156824068</v>
      </c>
      <c r="M17" s="8"/>
      <c r="N17" s="5"/>
      <c r="O17" s="5"/>
      <c r="P17" s="5"/>
      <c r="Q17" s="5"/>
      <c r="R17" s="5"/>
      <c r="S17" s="5"/>
    </row>
    <row r="18" spans="1:19" x14ac:dyDescent="0.25">
      <c r="A18" s="1">
        <v>84</v>
      </c>
      <c r="B18" s="1">
        <v>15</v>
      </c>
      <c r="C18" s="45">
        <f>'základné pravdepodobnosti 2021'!C89</f>
        <v>0.12260725637644374</v>
      </c>
      <c r="D18" s="34">
        <f t="shared" si="0"/>
        <v>0.87739274362355624</v>
      </c>
      <c r="E18" s="34">
        <f t="shared" si="1"/>
        <v>0.92791687675916612</v>
      </c>
      <c r="F18" s="47">
        <f>(PRODUCT($D$4:D17)-PRODUCT($D$4:D18))*E18</f>
        <v>4.4900564899899131E-2</v>
      </c>
      <c r="G18" s="47">
        <f>PRODUCT($D$4:D17)*C18*E18</f>
        <v>4.4900564899899104E-2</v>
      </c>
      <c r="H18" s="25"/>
      <c r="I18" s="25">
        <f>PRODUCT($D$4:D17)*E17</f>
        <v>0.36804565290858571</v>
      </c>
      <c r="J18" s="25"/>
      <c r="K18" s="5"/>
      <c r="L18" s="219" t="s">
        <v>100</v>
      </c>
      <c r="M18" s="28"/>
      <c r="N18" s="5"/>
      <c r="O18" s="5"/>
      <c r="P18" s="5"/>
      <c r="Q18" s="5"/>
      <c r="R18" s="5"/>
      <c r="S18" s="5"/>
    </row>
    <row r="19" spans="1:19" x14ac:dyDescent="0.25">
      <c r="A19" s="1">
        <v>85</v>
      </c>
      <c r="B19" s="1">
        <v>16</v>
      </c>
      <c r="C19" s="45">
        <f>'základné pravdepodobnosti 2021'!C90</f>
        <v>0.13552090373598136</v>
      </c>
      <c r="D19" s="34">
        <f t="shared" si="0"/>
        <v>0.86447909626401864</v>
      </c>
      <c r="E19" s="34">
        <f t="shared" si="1"/>
        <v>0.92330037488474248</v>
      </c>
      <c r="F19" s="47">
        <f>(PRODUCT($D$4:D18)-PRODUCT($D$4:D19))*E19</f>
        <v>4.3328125085134506E-2</v>
      </c>
      <c r="G19" s="47">
        <f>PRODUCT($D$4:D18)*C19*E19</f>
        <v>4.332812508513452E-2</v>
      </c>
      <c r="H19" s="25"/>
      <c r="I19" s="25">
        <f>PRODUCT($D$4:D18)*E18</f>
        <v>0.32131401510864394</v>
      </c>
      <c r="J19" s="25"/>
      <c r="K19" s="5"/>
      <c r="L19" s="8">
        <f>B1*(H7+L9/100+L10/100*I3)/((1-L11/100)*I3)</f>
        <v>393.73011351220026</v>
      </c>
      <c r="M19" s="220">
        <f>B1*(H7+L9/100+L10/100*M9)/(12*(1-L11/100)*M9)</f>
        <v>34.066250113551199</v>
      </c>
      <c r="N19" s="5"/>
      <c r="O19" s="5"/>
      <c r="P19" s="5"/>
      <c r="Q19" s="5"/>
      <c r="R19" s="5"/>
      <c r="S19" s="5"/>
    </row>
    <row r="20" spans="1:19" x14ac:dyDescent="0.25">
      <c r="A20" s="1">
        <v>86</v>
      </c>
      <c r="B20" s="1">
        <v>17</v>
      </c>
      <c r="C20" s="45">
        <f>'základné pravdepodobnosti 2021'!C91</f>
        <v>0.14578434023424647</v>
      </c>
      <c r="D20" s="34">
        <f t="shared" si="0"/>
        <v>0.85421565976575353</v>
      </c>
      <c r="E20" s="34">
        <f t="shared" si="1"/>
        <v>0.9187068406813359</v>
      </c>
      <c r="F20" s="47">
        <f>(PRODUCT($D$4:D19)-PRODUCT($D$4:D20))*E20</f>
        <v>4.0092479652346719E-2</v>
      </c>
      <c r="G20" s="47">
        <f>PRODUCT($D$4:D19)*C20*E20</f>
        <v>4.0092479652346732E-2</v>
      </c>
      <c r="H20" s="25"/>
      <c r="I20" s="25">
        <f>PRODUCT($D$4:D19)*E19</f>
        <v>0.27638731283391421</v>
      </c>
      <c r="J20" s="25"/>
      <c r="K20" s="5"/>
      <c r="L20" s="219" t="s">
        <v>101</v>
      </c>
      <c r="M20" s="5"/>
      <c r="N20" s="5"/>
      <c r="O20" s="5"/>
      <c r="P20" s="5"/>
      <c r="Q20" s="5"/>
      <c r="R20" s="5"/>
      <c r="S20" s="5"/>
    </row>
    <row r="21" spans="1:19" x14ac:dyDescent="0.25">
      <c r="A21" s="1">
        <v>87</v>
      </c>
      <c r="B21" s="1">
        <v>18</v>
      </c>
      <c r="C21" s="45">
        <f>'základné pravdepodobnosti 2021'!C92</f>
        <v>0.16008627626484961</v>
      </c>
      <c r="D21" s="34">
        <f t="shared" si="0"/>
        <v>0.83991372373515039</v>
      </c>
      <c r="E21" s="34">
        <f t="shared" si="1"/>
        <v>0.91413615988192654</v>
      </c>
      <c r="F21" s="47">
        <f>(PRODUCT($D$4:D20)-PRODUCT($D$4:D21))*E21</f>
        <v>3.742032985895611E-2</v>
      </c>
      <c r="G21" s="47">
        <f>PRODUCT($D$4:D20)*C21*E21</f>
        <v>3.7420329858956103E-2</v>
      </c>
      <c r="H21" s="25"/>
      <c r="I21" s="25">
        <f>PRODUCT($D$4:D20)*E20</f>
        <v>0.23491977192368732</v>
      </c>
      <c r="J21" s="25"/>
      <c r="K21" s="5"/>
      <c r="L21" s="8">
        <f>B1*(H7+L9/100+L10/100*I3)/((1-L11/100)*J3)</f>
        <v>587.38749150589092</v>
      </c>
      <c r="M21" s="24">
        <f>B1*(H7+L9/100+L10/100*M9)/(12*(1-L11/100)*M5)</f>
        <v>51.822675419095596</v>
      </c>
      <c r="N21" s="5"/>
      <c r="O21" s="5"/>
      <c r="P21" s="5"/>
      <c r="Q21" s="5"/>
      <c r="R21" s="5"/>
      <c r="S21" s="5"/>
    </row>
    <row r="22" spans="1:19" x14ac:dyDescent="0.25">
      <c r="A22" s="1">
        <v>88</v>
      </c>
      <c r="B22" s="1">
        <v>19</v>
      </c>
      <c r="C22" s="45">
        <f>'základné pravdepodobnosti 2021'!C93</f>
        <v>0.17569153775747448</v>
      </c>
      <c r="D22" s="34">
        <f t="shared" si="0"/>
        <v>0.82430846224252552</v>
      </c>
      <c r="E22" s="34">
        <f t="shared" si="1"/>
        <v>0.90958821878798668</v>
      </c>
      <c r="F22" s="47">
        <f>(PRODUCT($D$4:D21)-PRODUCT($D$4:D22))*E22</f>
        <v>3.4322030153822257E-2</v>
      </c>
      <c r="G22" s="47">
        <f>PRODUCT($D$4:D21)*C22*E22</f>
        <v>3.4322030153822257E-2</v>
      </c>
      <c r="H22" s="25"/>
      <c r="I22" s="25">
        <f>PRODUCT($D$4:D21)*E21</f>
        <v>0.19633068698053383</v>
      </c>
      <c r="J22" s="2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1">
        <v>89</v>
      </c>
      <c r="B23" s="1">
        <v>20</v>
      </c>
      <c r="C23" s="45">
        <f>'základné pravdepodobnosti 2021'!C94</f>
        <v>0.19268533835068291</v>
      </c>
      <c r="D23" s="34">
        <f t="shared" si="0"/>
        <v>0.80731466164931709</v>
      </c>
      <c r="E23" s="34">
        <f t="shared" si="1"/>
        <v>0.90506290426665348</v>
      </c>
      <c r="F23" s="47">
        <f>(PRODUCT($D$4:D22)-PRODUCT($D$4:D23))*E23</f>
        <v>3.0874113112476655E-2</v>
      </c>
      <c r="G23" s="47">
        <f>PRODUCT($D$4:D22)*C23*E23</f>
        <v>3.0874113112476662E-2</v>
      </c>
      <c r="H23" s="25"/>
      <c r="I23" s="25">
        <f>PRODUCT($D$4:D22)*E22</f>
        <v>0.16103188723974377</v>
      </c>
      <c r="J23" s="25"/>
      <c r="K23" s="226" t="s">
        <v>108</v>
      </c>
      <c r="L23" s="227" t="s">
        <v>110</v>
      </c>
      <c r="M23" s="5"/>
      <c r="N23" s="5"/>
      <c r="O23" s="5"/>
      <c r="P23" s="5"/>
      <c r="Q23" s="5"/>
      <c r="R23" s="5"/>
      <c r="S23" s="5"/>
    </row>
    <row r="24" spans="1:19" x14ac:dyDescent="0.25">
      <c r="A24" s="1">
        <v>90</v>
      </c>
      <c r="B24" s="1">
        <v>21</v>
      </c>
      <c r="C24" s="45">
        <f>'základné pravdepodobnosti 2021'!C95</f>
        <v>0.21115072425938974</v>
      </c>
      <c r="D24" s="34">
        <f t="shared" si="0"/>
        <v>0.78884927574061026</v>
      </c>
      <c r="E24" s="34">
        <f t="shared" si="1"/>
        <v>0.90056010374791418</v>
      </c>
      <c r="F24" s="47">
        <f>(PRODUCT($D$4:D23)-PRODUCT($D$4:D24))*E24</f>
        <v>2.7177854823632778E-2</v>
      </c>
      <c r="G24" s="47">
        <f>PRODUCT($D$4:D23)*C24*E24</f>
        <v>2.7177854823632771E-2</v>
      </c>
      <c r="H24" s="25"/>
      <c r="I24" s="25">
        <f>PRODUCT($D$4:D23)*E23</f>
        <v>0.12935662045940768</v>
      </c>
      <c r="J24" s="25"/>
      <c r="K24" s="226" t="s">
        <v>109</v>
      </c>
      <c r="L24" s="227" t="s">
        <v>111</v>
      </c>
      <c r="M24" s="5"/>
      <c r="N24" s="5"/>
      <c r="O24" s="5"/>
      <c r="P24" s="5"/>
      <c r="Q24" s="5"/>
      <c r="R24" s="5"/>
      <c r="S24" s="5"/>
    </row>
    <row r="25" spans="1:19" x14ac:dyDescent="0.25">
      <c r="A25" s="1">
        <v>91</v>
      </c>
      <c r="B25" s="1">
        <v>22</v>
      </c>
      <c r="C25" s="45">
        <f>'základné pravdepodobnosti 2021'!C96</f>
        <v>0.23116635688745502</v>
      </c>
      <c r="D25" s="34">
        <f t="shared" si="0"/>
        <v>0.76883364311254498</v>
      </c>
      <c r="E25" s="34">
        <f t="shared" si="1"/>
        <v>0.89607970522180524</v>
      </c>
      <c r="F25" s="47">
        <f>(PRODUCT($D$4:D24)-PRODUCT($D$4:D25))*E25</f>
        <v>2.3354748619926442E-2</v>
      </c>
      <c r="G25" s="47">
        <f>PRODUCT($D$4:D24)*C25*E25</f>
        <v>2.3354748619926442E-2</v>
      </c>
      <c r="H25" s="25"/>
      <c r="I25" s="25">
        <f>PRODUCT($D$4:D24)*E24</f>
        <v>0.10153520035985751</v>
      </c>
      <c r="J25" s="25"/>
      <c r="K25" s="5"/>
      <c r="L25" s="227" t="s">
        <v>113</v>
      </c>
      <c r="M25" s="25">
        <f>H7/(J3-G4-2*G5)</f>
        <v>0.10854645787437872</v>
      </c>
      <c r="N25" s="5"/>
      <c r="O25" s="5"/>
      <c r="P25" s="5"/>
      <c r="Q25" s="5"/>
      <c r="R25" s="5"/>
      <c r="S25" s="5"/>
    </row>
    <row r="26" spans="1:19" x14ac:dyDescent="0.25">
      <c r="A26" s="1">
        <v>92</v>
      </c>
      <c r="B26" s="1">
        <v>23</v>
      </c>
      <c r="C26" s="45">
        <f>'základné pravdepodobnosti 2021'!C97</f>
        <v>0.25280381897582338</v>
      </c>
      <c r="D26" s="34">
        <f t="shared" si="0"/>
        <v>0.74719618102417662</v>
      </c>
      <c r="E26" s="34">
        <f t="shared" si="1"/>
        <v>0.89162159723562728</v>
      </c>
      <c r="F26" s="47">
        <f>(PRODUCT($D$4:D25)-PRODUCT($D$4:D26))*E26</f>
        <v>1.9538918265288432E-2</v>
      </c>
      <c r="G26" s="47">
        <f>PRODUCT($D$4:D25)*C26*E26</f>
        <v>1.9538918265288432E-2</v>
      </c>
      <c r="H26" s="25"/>
      <c r="I26" s="25">
        <f>PRODUCT($D$4:D25)*E25</f>
        <v>7.7675301489384521E-2</v>
      </c>
      <c r="J26" s="25"/>
      <c r="K26" s="5"/>
      <c r="L26" s="228">
        <f>B1*M25</f>
        <v>542.73228937189356</v>
      </c>
      <c r="M26" s="8"/>
      <c r="N26" s="22"/>
      <c r="O26" s="5"/>
      <c r="P26" s="5"/>
      <c r="Q26" s="5"/>
      <c r="R26" s="5"/>
      <c r="S26" s="5"/>
    </row>
    <row r="27" spans="1:19" x14ac:dyDescent="0.25">
      <c r="A27" s="1">
        <v>93</v>
      </c>
      <c r="B27" s="1">
        <v>24</v>
      </c>
      <c r="C27" s="45">
        <f>'základné pravdepodobnosti 2021'!C98</f>
        <v>0.27612440413937089</v>
      </c>
      <c r="D27" s="34">
        <f t="shared" si="0"/>
        <v>0.72387559586062911</v>
      </c>
      <c r="E27" s="34">
        <f t="shared" si="1"/>
        <v>0.88718566889117134</v>
      </c>
      <c r="F27" s="47">
        <f>(PRODUCT($D$4:D26)-PRODUCT($D$4:D27))*E27</f>
        <v>1.5866833311803174E-2</v>
      </c>
      <c r="G27" s="47">
        <f>PRODUCT($D$4:D26)*C27*E27</f>
        <v>1.5866833311803174E-2</v>
      </c>
      <c r="H27" s="25"/>
      <c r="I27" s="25">
        <f>PRODUCT($D$4:D26)*E26</f>
        <v>5.7749938938079261E-2</v>
      </c>
      <c r="J27" s="25"/>
      <c r="K27" s="5"/>
      <c r="L27" s="5" t="s">
        <v>112</v>
      </c>
      <c r="M27" s="8"/>
      <c r="N27" s="5"/>
      <c r="O27" s="5"/>
      <c r="P27" s="5"/>
      <c r="Q27" s="5"/>
      <c r="R27" s="5"/>
      <c r="S27" s="5"/>
    </row>
    <row r="28" spans="1:19" x14ac:dyDescent="0.25">
      <c r="A28" s="1">
        <v>94</v>
      </c>
      <c r="B28" s="1">
        <v>25</v>
      </c>
      <c r="C28" s="45">
        <f>'základné pravdepodobnosti 2021'!C99</f>
        <v>0.3011753643124625</v>
      </c>
      <c r="D28" s="34">
        <f t="shared" si="0"/>
        <v>0.6988246356875375</v>
      </c>
      <c r="E28" s="34">
        <f t="shared" si="1"/>
        <v>0.8827718098419618</v>
      </c>
      <c r="F28" s="47">
        <f>(PRODUCT($D$4:D27)-PRODUCT($D$4:D28))*E28</f>
        <v>1.2465301451959322E-2</v>
      </c>
      <c r="G28" s="47">
        <f>PRODUCT($D$4:D27)*C28*E28</f>
        <v>1.246530145195932E-2</v>
      </c>
      <c r="H28" s="25"/>
      <c r="I28" s="25">
        <f>PRODUCT($D$4:D27)*E27</f>
        <v>4.1595792497230916E-2</v>
      </c>
      <c r="J28" s="25"/>
      <c r="K28" s="5"/>
      <c r="L28" s="8">
        <f>B1*(M25*J3+L9/100+L10/100*I3)/((1-L11/100)*J3)</f>
        <v>594.34181139666907</v>
      </c>
      <c r="M28" s="8">
        <f>B1*(M25*J3+L9/100+L10/100*I3)/(12*(1-L11/100)*M5)</f>
        <v>52.487104946968607</v>
      </c>
      <c r="N28" s="8"/>
      <c r="O28" s="5"/>
      <c r="P28" s="5"/>
      <c r="Q28" s="5"/>
      <c r="R28" s="5"/>
      <c r="S28" s="5"/>
    </row>
    <row r="29" spans="1:19" x14ac:dyDescent="0.25">
      <c r="A29" s="1">
        <v>95</v>
      </c>
      <c r="B29" s="1">
        <v>26</v>
      </c>
      <c r="C29" s="45">
        <f>'základné pravdepodobnosti 2021'!C100</f>
        <v>0.32798561282421468</v>
      </c>
      <c r="D29" s="34">
        <f t="shared" si="0"/>
        <v>0.67201438717578532</v>
      </c>
      <c r="E29" s="34">
        <f t="shared" si="1"/>
        <v>0.87837991029050932</v>
      </c>
      <c r="F29" s="47">
        <f>(PRODUCT($D$4:D28)-PRODUCT($D$4:D29))*E29</f>
        <v>9.4393106702060914E-3</v>
      </c>
      <c r="G29" s="47">
        <f>PRODUCT($D$4:D28)*C29*E29</f>
        <v>9.4393106702060931E-3</v>
      </c>
      <c r="H29" s="25"/>
      <c r="I29" s="25">
        <f>PRODUCT($D$4:D28)*E28</f>
        <v>2.8923546803991847E-2</v>
      </c>
      <c r="J29" s="25"/>
      <c r="K29" s="5"/>
      <c r="L29" s="5"/>
      <c r="M29" s="8"/>
      <c r="N29" s="5"/>
      <c r="O29" s="5"/>
      <c r="P29" s="5"/>
      <c r="Q29" s="5"/>
      <c r="R29" s="5"/>
      <c r="S29" s="5"/>
    </row>
    <row r="30" spans="1:19" x14ac:dyDescent="0.25">
      <c r="A30" s="1">
        <v>96</v>
      </c>
      <c r="B30" s="1">
        <v>27</v>
      </c>
      <c r="C30" s="45">
        <f>'základné pravdepodobnosti 2021'!C101</f>
        <v>0.35656091470086759</v>
      </c>
      <c r="D30" s="34">
        <f t="shared" si="0"/>
        <v>0.64343908529913241</v>
      </c>
      <c r="E30" s="34">
        <f t="shared" si="1"/>
        <v>0.87400986098558153</v>
      </c>
      <c r="F30" s="47">
        <f>(PRODUCT($D$4:D29)-PRODUCT($D$4:D30))*E30</f>
        <v>6.8617000686881759E-3</v>
      </c>
      <c r="G30" s="47">
        <f>PRODUCT($D$4:D29)*C30*E30</f>
        <v>6.8617000686881759E-3</v>
      </c>
      <c r="H30" s="25"/>
      <c r="I30" s="25">
        <f>PRODUCT($D$4:D29)*E29</f>
        <v>1.9340337890979827E-2</v>
      </c>
      <c r="J30" s="2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1">
        <v>97</v>
      </c>
      <c r="B31" s="1">
        <v>28</v>
      </c>
      <c r="C31" s="45">
        <f>'základné pravdepodobnosti 2021'!C102</f>
        <v>0.38687864244993142</v>
      </c>
      <c r="D31" s="34">
        <f t="shared" si="0"/>
        <v>0.61312135755006858</v>
      </c>
      <c r="E31" s="34">
        <f t="shared" si="1"/>
        <v>0.86966155321948435</v>
      </c>
      <c r="F31" s="47">
        <f>(PRODUCT($D$4:D30)-PRODUCT($D$4:D31))*E31</f>
        <v>4.7666594730577973E-3</v>
      </c>
      <c r="G31" s="47">
        <f>PRODUCT($D$4:D30)*C31*E31</f>
        <v>4.7666594730577981E-3</v>
      </c>
      <c r="H31" s="25"/>
      <c r="I31" s="25">
        <f>PRODUCT($D$4:D30)*E30</f>
        <v>1.2382417235769367E-2</v>
      </c>
      <c r="J31" s="2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1">
        <v>98</v>
      </c>
      <c r="B32" s="1">
        <v>29</v>
      </c>
      <c r="C32" s="45">
        <f>'základné pravdepodobnosti 2021'!C103</f>
        <v>0.41888223675923764</v>
      </c>
      <c r="D32" s="34">
        <f t="shared" si="0"/>
        <v>0.58111776324076236</v>
      </c>
      <c r="E32" s="34">
        <f t="shared" si="1"/>
        <v>0.86533487882535765</v>
      </c>
      <c r="F32" s="47">
        <f>(PRODUCT($D$4:D31)-PRODUCT($D$4:D32))*E32</f>
        <v>3.1485580073279686E-3</v>
      </c>
      <c r="G32" s="47">
        <f>PRODUCT($D$4:D31)*C32*E32</f>
        <v>3.1485580073279686E-3</v>
      </c>
      <c r="H32" s="25"/>
      <c r="I32" s="25">
        <f>PRODUCT($D$4:D31)*E31</f>
        <v>7.5541536968619753E-3</v>
      </c>
      <c r="J32" s="2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1">
        <v>99</v>
      </c>
      <c r="B33" s="1">
        <v>30</v>
      </c>
      <c r="C33" s="45">
        <f>'základné pravdepodobnosti 2021'!C104</f>
        <v>0.45247558811737287</v>
      </c>
      <c r="D33" s="34">
        <f t="shared" si="0"/>
        <v>0.54752441188262713</v>
      </c>
      <c r="E33" s="34">
        <f t="shared" si="1"/>
        <v>0.86102973017448536</v>
      </c>
      <c r="F33" s="47">
        <f>(PRODUCT($D$4:D32)-PRODUCT($D$4:D33))*E33</f>
        <v>1.9665862453392999E-3</v>
      </c>
      <c r="G33" s="47">
        <f>PRODUCT($D$4:D32)*C33*E33</f>
        <v>1.9665862453392999E-3</v>
      </c>
      <c r="H33" s="25"/>
      <c r="I33" s="25">
        <f>PRODUCT($D$4:D32)*E32</f>
        <v>4.3680128353207632E-3</v>
      </c>
      <c r="J33" s="2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1">
        <v>100</v>
      </c>
      <c r="B34" s="1">
        <v>31</v>
      </c>
      <c r="C34" s="45">
        <f>'základné pravdepodobnosti 2021'!C105</f>
        <v>0.48751764663145869</v>
      </c>
      <c r="D34" s="34">
        <f t="shared" si="0"/>
        <v>0.51248235336854131</v>
      </c>
      <c r="E34" s="34">
        <f t="shared" si="1"/>
        <v>0.85674600017361746</v>
      </c>
      <c r="F34" s="47">
        <f>(PRODUCT($D$4:D33)-PRODUCT($D$4:D34))*E34</f>
        <v>1.154371537550897E-3</v>
      </c>
      <c r="G34" s="47">
        <f>PRODUCT($D$4:D33)*C34*E34</f>
        <v>1.154371537550897E-3</v>
      </c>
      <c r="H34" s="25"/>
      <c r="I34" s="25">
        <f>PRODUCT($D$4:D33)*E33</f>
        <v>2.379695182840565E-3</v>
      </c>
      <c r="J34" s="2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1">
        <v>101</v>
      </c>
      <c r="B35" s="1">
        <v>32</v>
      </c>
      <c r="C35" s="45">
        <f>'základné pravdepodobnosti 2021'!C106</f>
        <v>0.52381767009312385</v>
      </c>
      <c r="D35" s="25">
        <f t="shared" si="0"/>
        <v>0.47618232990687615</v>
      </c>
      <c r="E35" s="25">
        <f t="shared" si="1"/>
        <v>0.85248358226230603</v>
      </c>
      <c r="F35" s="47">
        <f>(PRODUCT($D$4:D34)-PRODUCT($D$4:D35))*E35</f>
        <v>6.3248214246136385E-4</v>
      </c>
      <c r="G35" s="47">
        <f>PRODUCT($D$4:D34)*C35*E35</f>
        <v>6.3248214246136385E-4</v>
      </c>
      <c r="H35" s="25"/>
      <c r="I35" s="25">
        <f>PRODUCT($D$4:D34)*E34</f>
        <v>1.2134843657730489E-3</v>
      </c>
      <c r="J35" s="2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1">
        <v>102</v>
      </c>
      <c r="B36" s="1">
        <v>33</v>
      </c>
      <c r="C36" s="45">
        <f>'základné pravdepodobnosti 2021'!C107</f>
        <v>0.56113162784400372</v>
      </c>
      <c r="D36" s="25">
        <f t="shared" si="0"/>
        <v>0.43886837215599628</v>
      </c>
      <c r="E36" s="25">
        <f t="shared" si="1"/>
        <v>0.84824237041025496</v>
      </c>
      <c r="F36" s="47">
        <f>(PRODUCT($D$4:D35)-PRODUCT($D$4:D36))*E36</f>
        <v>3.2102590992991593E-4</v>
      </c>
      <c r="G36" s="47">
        <f>PRODUCT($D$4:D35)*C36*E36</f>
        <v>3.2102590992991593E-4</v>
      </c>
      <c r="H36" s="25"/>
      <c r="I36" s="25">
        <f>PRODUCT($D$4:D35)*E35</f>
        <v>5.7496498766107312E-4</v>
      </c>
      <c r="J36" s="2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1">
        <v>103</v>
      </c>
      <c r="B37" s="1">
        <v>34</v>
      </c>
      <c r="C37" s="45">
        <f>'základné pravdepodobnosti 2021'!C108</f>
        <v>0.59916037869075023</v>
      </c>
      <c r="D37" s="25">
        <f t="shared" si="0"/>
        <v>0.40083962130924977</v>
      </c>
      <c r="E37" s="25">
        <f t="shared" si="1"/>
        <v>0.84402225911468165</v>
      </c>
      <c r="F37" s="47">
        <f>(PRODUCT($D$4:D36)-PRODUCT($D$4:D37))*E37</f>
        <v>1.4968788292266463E-4</v>
      </c>
      <c r="G37" s="47">
        <f>PRODUCT($D$4:D36)*C37*E37</f>
        <v>1.4968788292266461E-4</v>
      </c>
      <c r="H37" s="25"/>
      <c r="I37" s="25">
        <f>PRODUCT($D$4:D36)*E36</f>
        <v>2.5107855540448527E-4</v>
      </c>
      <c r="J37" s="2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1">
        <v>104</v>
      </c>
      <c r="B38" s="1">
        <v>35</v>
      </c>
      <c r="C38" s="45">
        <f>'základné pravdepodobnosti 2021'!C109</f>
        <v>0.63755031775638038</v>
      </c>
      <c r="D38" s="25">
        <f>1-C38</f>
        <v>0.36244968224361962</v>
      </c>
      <c r="E38" s="25">
        <f t="shared" si="1"/>
        <v>0.83982314339769315</v>
      </c>
      <c r="F38" s="47">
        <f>(PRODUCT($D$4:D37)-PRODUCT($D$4:D38))*E38</f>
        <v>6.3527623248642125E-5</v>
      </c>
      <c r="G38" s="47">
        <f>PRODUCT($D$4:D37)*C38*E38</f>
        <v>6.3527623248642125E-5</v>
      </c>
      <c r="H38" s="25"/>
      <c r="I38" s="25">
        <f>PRODUCT($D$4:D37)*E37</f>
        <v>1.0014152544000734E-4</v>
      </c>
      <c r="J38" s="2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1">
        <v>105</v>
      </c>
      <c r="B39" s="1">
        <v>36</v>
      </c>
      <c r="C39" s="45">
        <f>'základné pravdepodobnosti 2021'!C110</f>
        <v>0.67589721632066113</v>
      </c>
      <c r="D39" s="25">
        <f t="shared" si="0"/>
        <v>0.32410278367933887</v>
      </c>
      <c r="E39" s="25">
        <f t="shared" si="1"/>
        <v>0.83564491880367509</v>
      </c>
      <c r="F39" s="47">
        <f>(PRODUCT($D$4:D38)-PRODUCT($D$4:D39))*E39</f>
        <v>2.4289046163426242E-5</v>
      </c>
      <c r="G39" s="47">
        <f>PRODUCT($D$4:D38)*C39*E39</f>
        <v>2.4289046163426242E-5</v>
      </c>
      <c r="H39" s="25"/>
      <c r="I39" s="25">
        <f>PRODUCT($D$4:D38)*E38</f>
        <v>3.6115685646887569E-5</v>
      </c>
      <c r="J39" s="2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1"/>
      <c r="B40" s="1"/>
      <c r="C40" s="45"/>
      <c r="D40" s="25"/>
      <c r="E40" s="25"/>
      <c r="F40" s="25"/>
      <c r="G40" s="25"/>
      <c r="H40" s="25"/>
      <c r="I40" s="25"/>
      <c r="J40" s="2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1"/>
      <c r="B41" s="1"/>
      <c r="C41" s="45"/>
      <c r="D41" s="25"/>
      <c r="E41" s="25"/>
      <c r="F41" s="25"/>
      <c r="G41" s="25"/>
      <c r="H41" s="25"/>
      <c r="I41" s="25"/>
      <c r="J41" s="2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1"/>
      <c r="B42" s="1"/>
      <c r="C42" s="45"/>
      <c r="D42" s="25"/>
      <c r="E42" s="25"/>
      <c r="F42" s="25"/>
      <c r="G42" s="25"/>
      <c r="H42" s="25"/>
      <c r="I42" s="25"/>
      <c r="J42" s="2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1"/>
      <c r="B43" s="1"/>
      <c r="C43" s="45"/>
      <c r="D43" s="25"/>
      <c r="E43" s="49"/>
      <c r="F43" s="25"/>
      <c r="G43" s="25"/>
      <c r="H43" s="25"/>
      <c r="I43" s="25"/>
      <c r="J43" s="2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1"/>
      <c r="B44" s="1"/>
      <c r="C44" s="45"/>
      <c r="D44" s="25"/>
      <c r="E44" s="49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1"/>
      <c r="B45" s="1"/>
      <c r="C45" s="45"/>
      <c r="D45" s="25"/>
      <c r="E45" s="4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1"/>
      <c r="B46" s="1"/>
      <c r="C46" s="45"/>
      <c r="D46" s="25"/>
      <c r="E46" s="4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1"/>
      <c r="B47" s="1"/>
      <c r="C47" s="45"/>
      <c r="D47" s="25"/>
      <c r="E47" s="4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1"/>
      <c r="B48" s="1"/>
      <c r="C48" s="45"/>
      <c r="D48" s="25"/>
      <c r="E48" s="4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1"/>
      <c r="B49" s="1"/>
      <c r="C49" s="45"/>
      <c r="D49" s="25"/>
      <c r="E49" s="4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1"/>
      <c r="B50" s="1"/>
      <c r="C50" s="45"/>
      <c r="D50" s="25"/>
      <c r="E50" s="4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1"/>
      <c r="B51" s="1"/>
      <c r="C51" s="45"/>
      <c r="D51" s="25"/>
      <c r="E51" s="4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1"/>
      <c r="B52" s="1"/>
      <c r="C52" s="45"/>
      <c r="D52" s="25"/>
      <c r="E52" s="4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1"/>
      <c r="B53" s="1"/>
      <c r="C53" s="45"/>
      <c r="D53" s="25"/>
      <c r="E53" s="4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1"/>
      <c r="B54" s="1"/>
      <c r="C54" s="45"/>
      <c r="D54" s="25"/>
      <c r="E54" s="4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1"/>
      <c r="B55" s="1"/>
      <c r="C55" s="45"/>
      <c r="D55" s="25"/>
      <c r="E55" s="4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1"/>
      <c r="B56" s="1"/>
      <c r="C56" s="45"/>
      <c r="D56" s="25"/>
      <c r="E56" s="4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1"/>
      <c r="B57" s="1"/>
      <c r="C57" s="45"/>
      <c r="D57" s="25"/>
      <c r="E57" s="4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1"/>
      <c r="B58" s="1"/>
      <c r="C58" s="45"/>
      <c r="D58" s="25"/>
      <c r="E58" s="4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1"/>
      <c r="B59" s="1"/>
      <c r="C59" s="45"/>
      <c r="D59" s="25"/>
      <c r="E59" s="4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1"/>
      <c r="B60" s="1"/>
      <c r="C60" s="45"/>
      <c r="D60" s="25"/>
      <c r="E60" s="4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1"/>
      <c r="B61" s="1"/>
      <c r="C61" s="45"/>
      <c r="D61" s="25"/>
      <c r="E61" s="4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1"/>
      <c r="B62" s="1"/>
      <c r="C62" s="45"/>
      <c r="D62" s="25"/>
      <c r="E62" s="4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1"/>
      <c r="B63" s="1"/>
      <c r="C63" s="45"/>
      <c r="D63" s="25"/>
      <c r="E63" s="4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1"/>
      <c r="B64" s="1"/>
      <c r="C64" s="45"/>
      <c r="D64" s="25"/>
      <c r="E64" s="4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1"/>
      <c r="B65" s="1"/>
      <c r="C65" s="45"/>
      <c r="D65" s="25"/>
      <c r="E65" s="4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1"/>
      <c r="B66" s="1"/>
      <c r="C66" s="45"/>
      <c r="D66" s="25"/>
      <c r="E66" s="4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1"/>
      <c r="B67" s="1"/>
      <c r="C67" s="45"/>
      <c r="D67" s="25"/>
      <c r="E67" s="4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1"/>
      <c r="B68" s="1"/>
      <c r="C68" s="45"/>
      <c r="D68" s="25"/>
      <c r="E68" s="4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1"/>
      <c r="B69" s="1"/>
      <c r="C69" s="45"/>
      <c r="D69" s="25"/>
      <c r="E69" s="4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1"/>
      <c r="B70" s="1"/>
      <c r="C70" s="45"/>
      <c r="D70" s="25"/>
      <c r="E70" s="4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1"/>
      <c r="B71" s="1"/>
      <c r="C71" s="45"/>
      <c r="D71" s="25"/>
      <c r="E71" s="4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1"/>
      <c r="B72" s="1"/>
      <c r="C72" s="45"/>
      <c r="D72" s="25"/>
      <c r="E72" s="49"/>
      <c r="F72" s="104"/>
      <c r="G72" s="104"/>
    </row>
    <row r="73" spans="1:19" x14ac:dyDescent="0.25">
      <c r="A73" s="1"/>
      <c r="B73" s="1"/>
      <c r="C73" s="45"/>
      <c r="D73" s="25"/>
      <c r="E73" s="49"/>
      <c r="F73" s="104"/>
      <c r="G73" s="104"/>
    </row>
    <row r="74" spans="1:19" x14ac:dyDescent="0.25">
      <c r="A74" s="1"/>
      <c r="B74" s="1"/>
      <c r="C74" s="45"/>
      <c r="D74" s="25"/>
      <c r="E74" s="49"/>
      <c r="F74" s="104"/>
      <c r="G74" s="104"/>
    </row>
    <row r="75" spans="1:19" x14ac:dyDescent="0.25">
      <c r="A75" s="1"/>
      <c r="B75" s="1"/>
      <c r="C75" s="45"/>
      <c r="D75" s="25"/>
      <c r="E75" s="49"/>
      <c r="F75" s="104"/>
      <c r="G75" s="104"/>
    </row>
    <row r="76" spans="1:19" x14ac:dyDescent="0.25">
      <c r="A76" s="1"/>
      <c r="B76" s="1"/>
      <c r="C76" s="45"/>
      <c r="D76" s="25"/>
      <c r="E76" s="49"/>
      <c r="F76" s="104"/>
      <c r="G76" s="104"/>
    </row>
    <row r="77" spans="1:19" x14ac:dyDescent="0.25">
      <c r="A77" s="1"/>
      <c r="B77" s="1"/>
      <c r="C77" s="45"/>
      <c r="D77" s="25"/>
      <c r="E77" s="49"/>
      <c r="F77" s="104"/>
      <c r="G77" s="104"/>
    </row>
    <row r="78" spans="1:19" x14ac:dyDescent="0.25">
      <c r="A78" s="1"/>
      <c r="B78" s="1"/>
      <c r="C78" s="45"/>
      <c r="D78" s="25"/>
      <c r="E78" s="49"/>
      <c r="F78" s="104"/>
      <c r="G78" s="104"/>
    </row>
    <row r="79" spans="1:19" x14ac:dyDescent="0.25">
      <c r="A79" s="1"/>
      <c r="B79" s="1"/>
      <c r="C79" s="45"/>
      <c r="D79" s="25"/>
      <c r="E79" s="49"/>
      <c r="F79" s="104"/>
      <c r="G79" s="104"/>
    </row>
    <row r="80" spans="1:19" x14ac:dyDescent="0.25">
      <c r="A80" s="21"/>
      <c r="B80" s="21"/>
      <c r="C80" s="20"/>
      <c r="D80" s="22"/>
      <c r="E80" s="22"/>
    </row>
    <row r="81" spans="1:5" x14ac:dyDescent="0.25">
      <c r="A81" s="21"/>
      <c r="B81" s="21"/>
      <c r="C81" s="20"/>
      <c r="D81" s="22"/>
      <c r="E81" s="22"/>
    </row>
    <row r="82" spans="1:5" x14ac:dyDescent="0.25">
      <c r="A82" s="1"/>
      <c r="B82" s="1"/>
      <c r="C82" s="2"/>
      <c r="D82" s="3"/>
      <c r="E82" s="3"/>
    </row>
    <row r="83" spans="1:5" x14ac:dyDescent="0.25">
      <c r="A83" s="1"/>
      <c r="B83" s="1"/>
      <c r="C83" s="2"/>
      <c r="D83" s="3"/>
      <c r="E83" s="3"/>
    </row>
    <row r="84" spans="1:5" x14ac:dyDescent="0.25">
      <c r="A84" s="1"/>
      <c r="B84" s="1"/>
      <c r="C84" s="2"/>
      <c r="D84" s="3"/>
      <c r="E84" s="3"/>
    </row>
    <row r="85" spans="1:5" x14ac:dyDescent="0.25">
      <c r="A85" s="1"/>
      <c r="B85" s="1"/>
      <c r="C85" s="2"/>
      <c r="D85" s="3"/>
      <c r="E85" s="3"/>
    </row>
    <row r="86" spans="1:5" x14ac:dyDescent="0.25">
      <c r="A86" s="1"/>
      <c r="B86" s="1"/>
      <c r="C86" s="2"/>
      <c r="D86" s="3"/>
      <c r="E86" s="3"/>
    </row>
    <row r="87" spans="1:5" x14ac:dyDescent="0.25">
      <c r="A87" s="1"/>
      <c r="B87" s="1"/>
      <c r="C87" s="2"/>
      <c r="D87" s="3"/>
      <c r="E87" s="3"/>
    </row>
    <row r="88" spans="1:5" x14ac:dyDescent="0.25">
      <c r="A88" s="1"/>
      <c r="B88" s="1"/>
      <c r="C88" s="2"/>
      <c r="D88" s="3"/>
      <c r="E88" s="3"/>
    </row>
    <row r="89" spans="1:5" x14ac:dyDescent="0.25">
      <c r="A89" s="1"/>
      <c r="B89" s="1"/>
      <c r="C89" s="2"/>
      <c r="D89" s="3"/>
      <c r="E89" s="3"/>
    </row>
    <row r="90" spans="1:5" x14ac:dyDescent="0.25">
      <c r="A90" s="1"/>
      <c r="B90" s="1"/>
      <c r="C90" s="2"/>
      <c r="D90" s="3"/>
      <c r="E90" s="3"/>
    </row>
    <row r="91" spans="1:5" x14ac:dyDescent="0.25">
      <c r="A91" s="1"/>
      <c r="B91" s="1"/>
      <c r="C91" s="2"/>
      <c r="D91" s="3"/>
      <c r="E91" s="3"/>
    </row>
    <row r="92" spans="1:5" x14ac:dyDescent="0.25">
      <c r="A92" s="1"/>
      <c r="B92" s="1"/>
      <c r="C92" s="2"/>
      <c r="D92" s="3"/>
      <c r="E92" s="3"/>
    </row>
    <row r="93" spans="1:5" x14ac:dyDescent="0.25">
      <c r="A93" s="1"/>
      <c r="B93" s="1"/>
      <c r="C93" s="2"/>
      <c r="D93" s="3"/>
      <c r="E93" s="3"/>
    </row>
    <row r="94" spans="1:5" x14ac:dyDescent="0.25">
      <c r="A94" s="1"/>
      <c r="B94" s="1"/>
      <c r="C94" s="2"/>
      <c r="D94" s="3"/>
      <c r="E94" s="3"/>
    </row>
    <row r="95" spans="1:5" x14ac:dyDescent="0.25">
      <c r="A95" s="1"/>
      <c r="B95" s="1"/>
      <c r="C95" s="2"/>
      <c r="D95" s="3"/>
      <c r="E95" s="3"/>
    </row>
    <row r="96" spans="1:5" x14ac:dyDescent="0.25">
      <c r="A96" s="1"/>
      <c r="B96" s="1"/>
      <c r="C96" s="2"/>
      <c r="D96" s="3"/>
      <c r="E96" s="3"/>
    </row>
    <row r="97" spans="1:5" x14ac:dyDescent="0.25">
      <c r="A97" s="1"/>
      <c r="B97" s="1"/>
      <c r="C97" s="2"/>
      <c r="D97" s="3"/>
      <c r="E97" s="3"/>
    </row>
    <row r="98" spans="1:5" x14ac:dyDescent="0.25">
      <c r="A98" s="1"/>
      <c r="B98" s="1"/>
      <c r="C98" s="2"/>
      <c r="D98" s="3"/>
      <c r="E98" s="3"/>
    </row>
    <row r="99" spans="1:5" x14ac:dyDescent="0.25">
      <c r="A99" s="1"/>
      <c r="B99" s="1"/>
      <c r="C99" s="2"/>
      <c r="D99" s="3"/>
      <c r="E99" s="3"/>
    </row>
    <row r="100" spans="1:5" x14ac:dyDescent="0.25">
      <c r="A100" s="1"/>
      <c r="B100" s="1"/>
      <c r="C100" s="2"/>
      <c r="D100" s="3"/>
      <c r="E100" s="3"/>
    </row>
    <row r="101" spans="1:5" x14ac:dyDescent="0.25">
      <c r="A101" s="1"/>
      <c r="B101" s="1"/>
      <c r="C101" s="2"/>
      <c r="D101" s="3"/>
      <c r="E101" s="3"/>
    </row>
    <row r="102" spans="1:5" x14ac:dyDescent="0.25">
      <c r="A102" s="1"/>
      <c r="B102" s="1"/>
      <c r="C102" s="2"/>
      <c r="D102" s="3"/>
      <c r="E102" s="3"/>
    </row>
    <row r="103" spans="1:5" x14ac:dyDescent="0.25">
      <c r="A103" s="1"/>
      <c r="B103" s="1"/>
      <c r="C103" s="2"/>
      <c r="D103" s="3"/>
      <c r="E103" s="3"/>
    </row>
    <row r="104" spans="1:5" x14ac:dyDescent="0.25">
      <c r="A104" s="1"/>
      <c r="B104" s="1"/>
      <c r="C104" s="2"/>
      <c r="D104" s="3"/>
      <c r="E104" s="3"/>
    </row>
    <row r="105" spans="1:5" x14ac:dyDescent="0.25">
      <c r="A105" s="1"/>
      <c r="B105" s="1"/>
      <c r="C105" s="2"/>
      <c r="D105" s="3"/>
      <c r="E105" s="3"/>
    </row>
    <row r="106" spans="1:5" x14ac:dyDescent="0.25">
      <c r="A106" s="1"/>
      <c r="B106" s="1"/>
      <c r="C106" s="2"/>
      <c r="D106" s="3"/>
      <c r="E106" s="3"/>
    </row>
    <row r="107" spans="1:5" x14ac:dyDescent="0.25">
      <c r="A107" s="1"/>
      <c r="B107" s="1"/>
      <c r="C107" s="2"/>
      <c r="D107" s="3"/>
      <c r="E107" s="3"/>
    </row>
    <row r="108" spans="1:5" x14ac:dyDescent="0.25">
      <c r="A108" s="1"/>
      <c r="B108" s="1"/>
      <c r="C108" s="2"/>
      <c r="D108" s="3"/>
      <c r="E108" s="3"/>
    </row>
    <row r="109" spans="1:5" x14ac:dyDescent="0.25">
      <c r="A109" s="1"/>
      <c r="B109" s="1"/>
      <c r="C109" s="2"/>
      <c r="D109" s="3"/>
      <c r="E109" s="3"/>
    </row>
  </sheetData>
  <mergeCells count="1">
    <mergeCell ref="Q8:R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25</vt:i4>
      </vt:variant>
    </vt:vector>
  </HeadingPairs>
  <TitlesOfParts>
    <vt:vector size="25" baseType="lpstr">
      <vt:lpstr>základné pravdepodobnosti 2021</vt:lpstr>
      <vt:lpstr>TUM</vt:lpstr>
      <vt:lpstr>TUM x=25</vt:lpstr>
      <vt:lpstr>TUM posun UT o 5 rokov</vt:lpstr>
      <vt:lpstr>Smith-Wilson</vt:lpstr>
      <vt:lpstr>Smith-Wilson posun x=25 rokov</vt:lpstr>
      <vt:lpstr>Smith-Wilson posun o 5 rokov</vt:lpstr>
      <vt:lpstr>All bonds</vt:lpstr>
      <vt:lpstr>All bonds x=25</vt:lpstr>
      <vt:lpstr>All bonds posun o 5 rokov</vt:lpstr>
      <vt:lpstr>AAA rated</vt:lpstr>
      <vt:lpstr>AAA rated x=25</vt:lpstr>
      <vt:lpstr>AAA rated posun o 5 rokov</vt:lpstr>
      <vt:lpstr>porovnanie</vt:lpstr>
      <vt:lpstr>porovnanie x=25</vt:lpstr>
      <vt:lpstr> testovanie i= 0.5</vt:lpstr>
      <vt:lpstr> testovanie Sven All Bonds</vt:lpstr>
      <vt:lpstr> testovanie Sven AAA rated</vt:lpstr>
      <vt:lpstr> testovanie Smith-Wilson</vt:lpstr>
      <vt:lpstr>citlivosť TUM</vt:lpstr>
      <vt:lpstr> testovanie i= 0.5 E</vt:lpstr>
      <vt:lpstr> testovanie Sven AAA rated E</vt:lpstr>
      <vt:lpstr> testovanie Smith-Wilson E</vt:lpstr>
      <vt:lpstr> testovanie Sven All Bonds E</vt:lpstr>
      <vt:lpstr>TUM pohrebne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Spirkova Jana, doc. RNDr., PhD.</dc:creator>
  <cp:lastModifiedBy>Janka</cp:lastModifiedBy>
  <dcterms:created xsi:type="dcterms:W3CDTF">2018-02-12T11:55:42Z</dcterms:created>
  <dcterms:modified xsi:type="dcterms:W3CDTF">2023-04-26T06:12:54Z</dcterms:modified>
</cp:coreProperties>
</file>